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020"/>
  </bookViews>
  <sheets>
    <sheet name="LNC 2026 Budget Prop" sheetId="3" r:id="rId1"/>
    <sheet name="2025 Budget vs Actuals" sheetId="2" r:id="rId2"/>
    <sheet name="LNC 2025 Budget Proposal v1.0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3" l="1"/>
  <c r="G23" i="3" s="1"/>
  <c r="T23" i="3" s="1"/>
  <c r="T14" i="3"/>
  <c r="T50" i="3"/>
  <c r="T21" i="3"/>
  <c r="T17" i="3"/>
  <c r="T44" i="3"/>
  <c r="T73" i="3"/>
  <c r="T61" i="3"/>
  <c r="T78" i="3"/>
  <c r="T84" i="3" s="1"/>
  <c r="U82" i="3"/>
  <c r="G82" i="3" s="1"/>
  <c r="U81" i="3"/>
  <c r="G81" i="3" s="1"/>
  <c r="U80" i="3"/>
  <c r="G80" i="3" s="1"/>
  <c r="U79" i="3"/>
  <c r="G79" i="3" s="1"/>
  <c r="S78" i="3"/>
  <c r="S84" i="3" s="1"/>
  <c r="R78" i="3"/>
  <c r="R84" i="3" s="1"/>
  <c r="Q78" i="3"/>
  <c r="Q84" i="3" s="1"/>
  <c r="P78" i="3"/>
  <c r="P84" i="3" s="1"/>
  <c r="O78" i="3"/>
  <c r="O84" i="3" s="1"/>
  <c r="N78" i="3"/>
  <c r="N84" i="3" s="1"/>
  <c r="M78" i="3"/>
  <c r="M84" i="3" s="1"/>
  <c r="L78" i="3"/>
  <c r="L84" i="3" s="1"/>
  <c r="K78" i="3"/>
  <c r="K84" i="3" s="1"/>
  <c r="J78" i="3"/>
  <c r="J84" i="3" s="1"/>
  <c r="I78" i="3"/>
  <c r="I84" i="3" s="1"/>
  <c r="H78" i="3"/>
  <c r="U77" i="3"/>
  <c r="G77" i="3" s="1"/>
  <c r="U76" i="3"/>
  <c r="G76" i="3" s="1"/>
  <c r="U71" i="3"/>
  <c r="G71" i="3" s="1"/>
  <c r="U70" i="3"/>
  <c r="G70" i="3" s="1"/>
  <c r="U69" i="3"/>
  <c r="G69" i="3" s="1"/>
  <c r="S73" i="3"/>
  <c r="R73" i="3"/>
  <c r="Q73" i="3"/>
  <c r="P73" i="3"/>
  <c r="O73" i="3"/>
  <c r="N73" i="3"/>
  <c r="M73" i="3"/>
  <c r="L73" i="3"/>
  <c r="K73" i="3"/>
  <c r="J73" i="3"/>
  <c r="I73" i="3"/>
  <c r="H73" i="3"/>
  <c r="U67" i="3"/>
  <c r="G67" i="3" s="1"/>
  <c r="U66" i="3"/>
  <c r="G66" i="3" s="1"/>
  <c r="U65" i="3"/>
  <c r="G65" i="3" s="1"/>
  <c r="U64" i="3"/>
  <c r="G64" i="3" s="1"/>
  <c r="U63" i="3"/>
  <c r="S61" i="3"/>
  <c r="R61" i="3"/>
  <c r="Q61" i="3"/>
  <c r="P61" i="3"/>
  <c r="O61" i="3"/>
  <c r="N61" i="3"/>
  <c r="M61" i="3"/>
  <c r="L61" i="3"/>
  <c r="K61" i="3"/>
  <c r="J61" i="3"/>
  <c r="I61" i="3"/>
  <c r="H61" i="3"/>
  <c r="U60" i="3"/>
  <c r="G60" i="3" s="1"/>
  <c r="U59" i="3"/>
  <c r="G59" i="3" s="1"/>
  <c r="U58" i="3"/>
  <c r="G58" i="3" s="1"/>
  <c r="U57" i="3"/>
  <c r="G57" i="3" s="1"/>
  <c r="U56" i="3"/>
  <c r="G56" i="3" s="1"/>
  <c r="U55" i="3"/>
  <c r="G55" i="3" s="1"/>
  <c r="U54" i="3"/>
  <c r="G54" i="3" s="1"/>
  <c r="U53" i="3"/>
  <c r="G53" i="3" s="1"/>
  <c r="U52" i="3"/>
  <c r="G52" i="3" s="1"/>
  <c r="U49" i="3"/>
  <c r="G49" i="3" s="1"/>
  <c r="U48" i="3"/>
  <c r="G48" i="3" s="1"/>
  <c r="U47" i="3"/>
  <c r="G47" i="3" s="1"/>
  <c r="S44" i="3"/>
  <c r="S45" i="3" s="1"/>
  <c r="R44" i="3"/>
  <c r="R45" i="3" s="1"/>
  <c r="Q44" i="3"/>
  <c r="Q45" i="3" s="1"/>
  <c r="P44" i="3"/>
  <c r="P45" i="3" s="1"/>
  <c r="O44" i="3"/>
  <c r="O45" i="3" s="1"/>
  <c r="N44" i="3"/>
  <c r="N45" i="3" s="1"/>
  <c r="M44" i="3"/>
  <c r="M45" i="3" s="1"/>
  <c r="L44" i="3"/>
  <c r="L45" i="3" s="1"/>
  <c r="K44" i="3"/>
  <c r="K45" i="3" s="1"/>
  <c r="J44" i="3"/>
  <c r="J45" i="3" s="1"/>
  <c r="I44" i="3"/>
  <c r="I45" i="3" s="1"/>
  <c r="H44" i="3"/>
  <c r="U43" i="3"/>
  <c r="G43" i="3" s="1"/>
  <c r="U42" i="3"/>
  <c r="G42" i="3" s="1"/>
  <c r="U41" i="3"/>
  <c r="G41" i="3" s="1"/>
  <c r="U40" i="3"/>
  <c r="G40" i="3" s="1"/>
  <c r="U39" i="3"/>
  <c r="G39" i="3" s="1"/>
  <c r="U38" i="3"/>
  <c r="G38" i="3" s="1"/>
  <c r="U37" i="3"/>
  <c r="G37" i="3" s="1"/>
  <c r="U36" i="3"/>
  <c r="G36" i="3" s="1"/>
  <c r="G35" i="3"/>
  <c r="U34" i="3"/>
  <c r="G34" i="3" s="1"/>
  <c r="U33" i="3"/>
  <c r="G33" i="3" s="1"/>
  <c r="U32" i="3"/>
  <c r="G32" i="3" s="1"/>
  <c r="U31" i="3"/>
  <c r="G31" i="3" s="1"/>
  <c r="U30" i="3"/>
  <c r="U22" i="3"/>
  <c r="G22" i="3" s="1"/>
  <c r="G21" i="3"/>
  <c r="U20" i="3"/>
  <c r="G20" i="3" s="1"/>
  <c r="U19" i="3"/>
  <c r="G19" i="3" s="1"/>
  <c r="S17" i="3"/>
  <c r="R17" i="3"/>
  <c r="Q17" i="3"/>
  <c r="P17" i="3"/>
  <c r="O17" i="3"/>
  <c r="N17" i="3"/>
  <c r="M17" i="3"/>
  <c r="L17" i="3"/>
  <c r="K17" i="3"/>
  <c r="J17" i="3"/>
  <c r="I17" i="3"/>
  <c r="H17" i="3"/>
  <c r="U16" i="3"/>
  <c r="S14" i="3"/>
  <c r="R14" i="3"/>
  <c r="Q14" i="3"/>
  <c r="P14" i="3"/>
  <c r="O14" i="3"/>
  <c r="N14" i="3"/>
  <c r="M14" i="3"/>
  <c r="L14" i="3"/>
  <c r="K14" i="3"/>
  <c r="J14" i="3"/>
  <c r="I14" i="3"/>
  <c r="H14" i="3"/>
  <c r="U13" i="3"/>
  <c r="G13" i="3" s="1"/>
  <c r="U11" i="3"/>
  <c r="G11" i="3" s="1"/>
  <c r="U10" i="3"/>
  <c r="G10" i="3" s="1"/>
  <c r="U9" i="3"/>
  <c r="G9" i="3" s="1"/>
  <c r="U8" i="3"/>
  <c r="G8" i="3" s="1"/>
  <c r="U7" i="3"/>
  <c r="G7" i="3" s="1"/>
  <c r="W94" i="2"/>
  <c r="P94" i="2"/>
  <c r="V94" i="2" s="1"/>
  <c r="V93" i="2"/>
  <c r="U93" i="2"/>
  <c r="S93" i="2"/>
  <c r="Q93" i="2"/>
  <c r="O93" i="2"/>
  <c r="N93" i="2"/>
  <c r="M93" i="2"/>
  <c r="L93" i="2"/>
  <c r="K93" i="2"/>
  <c r="J93" i="2"/>
  <c r="I93" i="2"/>
  <c r="H93" i="2"/>
  <c r="G93" i="2"/>
  <c r="W93" i="2" s="1"/>
  <c r="F93" i="2"/>
  <c r="E93" i="2"/>
  <c r="D93" i="2"/>
  <c r="C93" i="2"/>
  <c r="B93" i="2"/>
  <c r="W91" i="2"/>
  <c r="D91" i="2"/>
  <c r="B91" i="2"/>
  <c r="V91" i="2" s="1"/>
  <c r="U90" i="2"/>
  <c r="S90" i="2"/>
  <c r="Q90" i="2"/>
  <c r="O90" i="2"/>
  <c r="M90" i="2"/>
  <c r="K90" i="2"/>
  <c r="I90" i="2"/>
  <c r="H90" i="2"/>
  <c r="G90" i="2"/>
  <c r="F90" i="2"/>
  <c r="V90" i="2" s="1"/>
  <c r="E90" i="2"/>
  <c r="C90" i="2"/>
  <c r="W90" i="2" s="1"/>
  <c r="U89" i="2"/>
  <c r="S89" i="2"/>
  <c r="R89" i="2"/>
  <c r="Q89" i="2"/>
  <c r="O89" i="2"/>
  <c r="N89" i="2"/>
  <c r="M89" i="2"/>
  <c r="L89" i="2"/>
  <c r="K89" i="2"/>
  <c r="J89" i="2"/>
  <c r="I89" i="2"/>
  <c r="H89" i="2"/>
  <c r="G89" i="2"/>
  <c r="W89" i="2" s="1"/>
  <c r="F89" i="2"/>
  <c r="E89" i="2"/>
  <c r="D89" i="2"/>
  <c r="C89" i="2"/>
  <c r="B89" i="2"/>
  <c r="V89" i="2" s="1"/>
  <c r="U88" i="2"/>
  <c r="T88" i="2"/>
  <c r="S88" i="2"/>
  <c r="R88" i="2"/>
  <c r="Q88" i="2"/>
  <c r="P88" i="2"/>
  <c r="O88" i="2"/>
  <c r="N88" i="2"/>
  <c r="M88" i="2"/>
  <c r="L88" i="2"/>
  <c r="K88" i="2"/>
  <c r="J88" i="2"/>
  <c r="V88" i="2" s="1"/>
  <c r="I88" i="2"/>
  <c r="H88" i="2"/>
  <c r="G88" i="2"/>
  <c r="F88" i="2"/>
  <c r="E88" i="2"/>
  <c r="D88" i="2"/>
  <c r="C88" i="2"/>
  <c r="W88" i="2" s="1"/>
  <c r="B88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V87" i="2" s="1"/>
  <c r="G87" i="2"/>
  <c r="F87" i="2"/>
  <c r="E87" i="2"/>
  <c r="D87" i="2"/>
  <c r="C87" i="2"/>
  <c r="W87" i="2" s="1"/>
  <c r="B87" i="2"/>
  <c r="U86" i="2"/>
  <c r="U92" i="2" s="1"/>
  <c r="T86" i="2"/>
  <c r="T92" i="2" s="1"/>
  <c r="R86" i="2"/>
  <c r="R92" i="2" s="1"/>
  <c r="O86" i="2"/>
  <c r="O92" i="2" s="1"/>
  <c r="N86" i="2"/>
  <c r="N92" i="2" s="1"/>
  <c r="M86" i="2"/>
  <c r="M92" i="2" s="1"/>
  <c r="I86" i="2"/>
  <c r="I92" i="2" s="1"/>
  <c r="H86" i="2"/>
  <c r="H92" i="2" s="1"/>
  <c r="F86" i="2"/>
  <c r="F92" i="2" s="1"/>
  <c r="C86" i="2"/>
  <c r="C92" i="2" s="1"/>
  <c r="B86" i="2"/>
  <c r="B92" i="2" s="1"/>
  <c r="U85" i="2"/>
  <c r="T85" i="2"/>
  <c r="S85" i="2"/>
  <c r="S86" i="2" s="1"/>
  <c r="S92" i="2" s="1"/>
  <c r="R85" i="2"/>
  <c r="Q85" i="2"/>
  <c r="Q86" i="2" s="1"/>
  <c r="Q92" i="2" s="1"/>
  <c r="P85" i="2"/>
  <c r="P86" i="2" s="1"/>
  <c r="P92" i="2" s="1"/>
  <c r="O85" i="2"/>
  <c r="N85" i="2"/>
  <c r="M85" i="2"/>
  <c r="L85" i="2"/>
  <c r="L86" i="2" s="1"/>
  <c r="L92" i="2" s="1"/>
  <c r="K85" i="2"/>
  <c r="K86" i="2" s="1"/>
  <c r="K92" i="2" s="1"/>
  <c r="J85" i="2"/>
  <c r="J86" i="2" s="1"/>
  <c r="J92" i="2" s="1"/>
  <c r="I85" i="2"/>
  <c r="H85" i="2"/>
  <c r="G85" i="2"/>
  <c r="G86" i="2" s="1"/>
  <c r="G92" i="2" s="1"/>
  <c r="F85" i="2"/>
  <c r="E85" i="2"/>
  <c r="E86" i="2" s="1"/>
  <c r="E92" i="2" s="1"/>
  <c r="D85" i="2"/>
  <c r="D86" i="2" s="1"/>
  <c r="D92" i="2" s="1"/>
  <c r="C85" i="2"/>
  <c r="B85" i="2"/>
  <c r="W84" i="2"/>
  <c r="V84" i="2"/>
  <c r="W83" i="2"/>
  <c r="V83" i="2"/>
  <c r="W81" i="2"/>
  <c r="T81" i="2"/>
  <c r="R81" i="2"/>
  <c r="P81" i="2"/>
  <c r="N81" i="2"/>
  <c r="L81" i="2"/>
  <c r="J81" i="2"/>
  <c r="H81" i="2"/>
  <c r="F81" i="2"/>
  <c r="D81" i="2"/>
  <c r="V81" i="2" s="1"/>
  <c r="U80" i="2"/>
  <c r="T80" i="2"/>
  <c r="S80" i="2"/>
  <c r="R80" i="2"/>
  <c r="Q80" i="2"/>
  <c r="P80" i="2"/>
  <c r="O80" i="2"/>
  <c r="N80" i="2"/>
  <c r="M80" i="2"/>
  <c r="L80" i="2"/>
  <c r="K80" i="2"/>
  <c r="J80" i="2"/>
  <c r="V80" i="2" s="1"/>
  <c r="I80" i="2"/>
  <c r="H80" i="2"/>
  <c r="G80" i="2"/>
  <c r="F80" i="2"/>
  <c r="E80" i="2"/>
  <c r="D80" i="2"/>
  <c r="C80" i="2"/>
  <c r="W80" i="2" s="1"/>
  <c r="B80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V79" i="2" s="1"/>
  <c r="G79" i="2"/>
  <c r="F79" i="2"/>
  <c r="E79" i="2"/>
  <c r="D79" i="2"/>
  <c r="C79" i="2"/>
  <c r="W79" i="2" s="1"/>
  <c r="B79" i="2"/>
  <c r="T78" i="2"/>
  <c r="R78" i="2"/>
  <c r="F78" i="2"/>
  <c r="W77" i="2"/>
  <c r="P77" i="2"/>
  <c r="V77" i="2" s="1"/>
  <c r="N77" i="2"/>
  <c r="U76" i="2"/>
  <c r="S76" i="2"/>
  <c r="Q76" i="2"/>
  <c r="P76" i="2"/>
  <c r="O76" i="2"/>
  <c r="N76" i="2"/>
  <c r="M76" i="2"/>
  <c r="L76" i="2"/>
  <c r="K76" i="2"/>
  <c r="K78" i="2" s="1"/>
  <c r="J76" i="2"/>
  <c r="I76" i="2"/>
  <c r="H76" i="2"/>
  <c r="H78" i="2" s="1"/>
  <c r="G76" i="2"/>
  <c r="F76" i="2"/>
  <c r="V76" i="2" s="1"/>
  <c r="E76" i="2"/>
  <c r="W76" i="2" s="1"/>
  <c r="D76" i="2"/>
  <c r="C76" i="2"/>
  <c r="B76" i="2"/>
  <c r="U75" i="2"/>
  <c r="S75" i="2"/>
  <c r="R75" i="2"/>
  <c r="Q75" i="2"/>
  <c r="P75" i="2"/>
  <c r="P78" i="2" s="1"/>
  <c r="O75" i="2"/>
  <c r="N75" i="2"/>
  <c r="M75" i="2"/>
  <c r="L75" i="2"/>
  <c r="K75" i="2"/>
  <c r="J75" i="2"/>
  <c r="V75" i="2" s="1"/>
  <c r="I75" i="2"/>
  <c r="G75" i="2"/>
  <c r="W75" i="2" s="1"/>
  <c r="E75" i="2"/>
  <c r="C75" i="2"/>
  <c r="U74" i="2"/>
  <c r="S74" i="2"/>
  <c r="Q74" i="2"/>
  <c r="O74" i="2"/>
  <c r="N74" i="2"/>
  <c r="M74" i="2"/>
  <c r="M78" i="2" s="1"/>
  <c r="K74" i="2"/>
  <c r="I74" i="2"/>
  <c r="G74" i="2"/>
  <c r="F74" i="2"/>
  <c r="E74" i="2"/>
  <c r="D74" i="2"/>
  <c r="D78" i="2" s="1"/>
  <c r="C74" i="2"/>
  <c r="W74" i="2" s="1"/>
  <c r="U73" i="2"/>
  <c r="S73" i="2"/>
  <c r="Q73" i="2"/>
  <c r="Q78" i="2" s="1"/>
  <c r="P73" i="2"/>
  <c r="O73" i="2"/>
  <c r="N73" i="2"/>
  <c r="M73" i="2"/>
  <c r="L73" i="2"/>
  <c r="K73" i="2"/>
  <c r="J73" i="2"/>
  <c r="I73" i="2"/>
  <c r="H73" i="2"/>
  <c r="G73" i="2"/>
  <c r="F73" i="2"/>
  <c r="V73" i="2" s="1"/>
  <c r="E73" i="2"/>
  <c r="E78" i="2" s="1"/>
  <c r="D73" i="2"/>
  <c r="C73" i="2"/>
  <c r="W73" i="2" s="1"/>
  <c r="B73" i="2"/>
  <c r="V72" i="2"/>
  <c r="U72" i="2"/>
  <c r="U78" i="2" s="1"/>
  <c r="S72" i="2"/>
  <c r="S78" i="2" s="1"/>
  <c r="R72" i="2"/>
  <c r="Q72" i="2"/>
  <c r="P72" i="2"/>
  <c r="O72" i="2"/>
  <c r="O78" i="2" s="1"/>
  <c r="N72" i="2"/>
  <c r="N78" i="2" s="1"/>
  <c r="M72" i="2"/>
  <c r="L72" i="2"/>
  <c r="L78" i="2" s="1"/>
  <c r="K72" i="2"/>
  <c r="J72" i="2"/>
  <c r="J78" i="2" s="1"/>
  <c r="I72" i="2"/>
  <c r="I78" i="2" s="1"/>
  <c r="H72" i="2"/>
  <c r="G72" i="2"/>
  <c r="G78" i="2" s="1"/>
  <c r="F72" i="2"/>
  <c r="E72" i="2"/>
  <c r="D72" i="2"/>
  <c r="C72" i="2"/>
  <c r="C78" i="2" s="1"/>
  <c r="B72" i="2"/>
  <c r="B78" i="2" s="1"/>
  <c r="W71" i="2"/>
  <c r="V71" i="2"/>
  <c r="U70" i="2"/>
  <c r="S70" i="2"/>
  <c r="Q70" i="2"/>
  <c r="P70" i="2"/>
  <c r="O70" i="2"/>
  <c r="M70" i="2"/>
  <c r="K70" i="2"/>
  <c r="J70" i="2"/>
  <c r="I70" i="2"/>
  <c r="G70" i="2"/>
  <c r="E70" i="2"/>
  <c r="D70" i="2"/>
  <c r="V70" i="2" s="1"/>
  <c r="C70" i="2"/>
  <c r="W70" i="2" s="1"/>
  <c r="V69" i="2"/>
  <c r="U69" i="2"/>
  <c r="T69" i="2"/>
  <c r="S69" i="2"/>
  <c r="Q69" i="2"/>
  <c r="O69" i="2"/>
  <c r="M69" i="2"/>
  <c r="K69" i="2"/>
  <c r="J69" i="2"/>
  <c r="I69" i="2"/>
  <c r="H69" i="2"/>
  <c r="G69" i="2"/>
  <c r="E69" i="2"/>
  <c r="W69" i="2" s="1"/>
  <c r="C69" i="2"/>
  <c r="U68" i="2"/>
  <c r="T68" i="2"/>
  <c r="T82" i="2" s="1"/>
  <c r="S68" i="2"/>
  <c r="R68" i="2"/>
  <c r="R82" i="2" s="1"/>
  <c r="Q68" i="2"/>
  <c r="P68" i="2"/>
  <c r="O68" i="2"/>
  <c r="O82" i="2" s="1"/>
  <c r="N68" i="2"/>
  <c r="M68" i="2"/>
  <c r="L68" i="2"/>
  <c r="K68" i="2"/>
  <c r="J68" i="2"/>
  <c r="I68" i="2"/>
  <c r="H68" i="2"/>
  <c r="H82" i="2" s="1"/>
  <c r="G68" i="2"/>
  <c r="F68" i="2"/>
  <c r="F82" i="2" s="1"/>
  <c r="E68" i="2"/>
  <c r="D68" i="2"/>
  <c r="C68" i="2"/>
  <c r="W68" i="2" s="1"/>
  <c r="B68" i="2"/>
  <c r="V68" i="2" s="1"/>
  <c r="W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D82" i="2" s="1"/>
  <c r="C67" i="2"/>
  <c r="B67" i="2"/>
  <c r="U66" i="2"/>
  <c r="T66" i="2"/>
  <c r="S66" i="2"/>
  <c r="R66" i="2"/>
  <c r="Q66" i="2"/>
  <c r="Q82" i="2" s="1"/>
  <c r="P66" i="2"/>
  <c r="P82" i="2" s="1"/>
  <c r="O66" i="2"/>
  <c r="N66" i="2"/>
  <c r="N82" i="2" s="1"/>
  <c r="M66" i="2"/>
  <c r="L66" i="2"/>
  <c r="K66" i="2"/>
  <c r="K82" i="2" s="1"/>
  <c r="J66" i="2"/>
  <c r="I66" i="2"/>
  <c r="H66" i="2"/>
  <c r="G66" i="2"/>
  <c r="F66" i="2"/>
  <c r="E66" i="2"/>
  <c r="E82" i="2" s="1"/>
  <c r="C66" i="2"/>
  <c r="W65" i="2"/>
  <c r="V65" i="2"/>
  <c r="W63" i="2"/>
  <c r="V63" i="2"/>
  <c r="F63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V62" i="2" s="1"/>
  <c r="G62" i="2"/>
  <c r="F62" i="2"/>
  <c r="E62" i="2"/>
  <c r="D62" i="2"/>
  <c r="C62" i="2"/>
  <c r="W62" i="2" s="1"/>
  <c r="B62" i="2"/>
  <c r="U61" i="2"/>
  <c r="S61" i="2"/>
  <c r="Q61" i="2"/>
  <c r="O61" i="2"/>
  <c r="M61" i="2"/>
  <c r="K61" i="2"/>
  <c r="I61" i="2"/>
  <c r="G61" i="2"/>
  <c r="F61" i="2"/>
  <c r="V61" i="2" s="1"/>
  <c r="E61" i="2"/>
  <c r="C61" i="2"/>
  <c r="W61" i="2" s="1"/>
  <c r="V60" i="2"/>
  <c r="U60" i="2"/>
  <c r="S60" i="2"/>
  <c r="Q60" i="2"/>
  <c r="O60" i="2"/>
  <c r="M60" i="2"/>
  <c r="K60" i="2"/>
  <c r="I60" i="2"/>
  <c r="G60" i="2"/>
  <c r="E60" i="2"/>
  <c r="C60" i="2"/>
  <c r="W60" i="2" s="1"/>
  <c r="U59" i="2"/>
  <c r="U64" i="2" s="1"/>
  <c r="T59" i="2"/>
  <c r="S59" i="2"/>
  <c r="S64" i="2" s="1"/>
  <c r="R59" i="2"/>
  <c r="Q59" i="2"/>
  <c r="P59" i="2"/>
  <c r="O59" i="2"/>
  <c r="N59" i="2"/>
  <c r="N64" i="2" s="1"/>
  <c r="M59" i="2"/>
  <c r="L59" i="2"/>
  <c r="L64" i="2" s="1"/>
  <c r="K59" i="2"/>
  <c r="J59" i="2"/>
  <c r="I59" i="2"/>
  <c r="I64" i="2" s="1"/>
  <c r="H59" i="2"/>
  <c r="G59" i="2"/>
  <c r="G64" i="2" s="1"/>
  <c r="F59" i="2"/>
  <c r="E59" i="2"/>
  <c r="D59" i="2"/>
  <c r="C59" i="2"/>
  <c r="W59" i="2" s="1"/>
  <c r="B59" i="2"/>
  <c r="B64" i="2" s="1"/>
  <c r="V58" i="2"/>
  <c r="U58" i="2"/>
  <c r="S58" i="2"/>
  <c r="Q58" i="2"/>
  <c r="O58" i="2"/>
  <c r="M58" i="2"/>
  <c r="K58" i="2"/>
  <c r="I58" i="2"/>
  <c r="G58" i="2"/>
  <c r="E58" i="2"/>
  <c r="C58" i="2"/>
  <c r="W58" i="2" s="1"/>
  <c r="U57" i="2"/>
  <c r="T57" i="2"/>
  <c r="S57" i="2"/>
  <c r="R57" i="2"/>
  <c r="Q57" i="2"/>
  <c r="P57" i="2"/>
  <c r="O57" i="2"/>
  <c r="N57" i="2"/>
  <c r="M57" i="2"/>
  <c r="L57" i="2"/>
  <c r="K57" i="2"/>
  <c r="J57" i="2"/>
  <c r="V57" i="2" s="1"/>
  <c r="I57" i="2"/>
  <c r="H57" i="2"/>
  <c r="G57" i="2"/>
  <c r="F57" i="2"/>
  <c r="E57" i="2"/>
  <c r="D57" i="2"/>
  <c r="C57" i="2"/>
  <c r="W57" i="2" s="1"/>
  <c r="B57" i="2"/>
  <c r="U56" i="2"/>
  <c r="T56" i="2"/>
  <c r="S56" i="2"/>
  <c r="R56" i="2"/>
  <c r="Q56" i="2"/>
  <c r="Q64" i="2" s="1"/>
  <c r="P56" i="2"/>
  <c r="O56" i="2"/>
  <c r="N56" i="2"/>
  <c r="M56" i="2"/>
  <c r="L56" i="2"/>
  <c r="K56" i="2"/>
  <c r="J56" i="2"/>
  <c r="I56" i="2"/>
  <c r="H56" i="2"/>
  <c r="V56" i="2" s="1"/>
  <c r="G56" i="2"/>
  <c r="F56" i="2"/>
  <c r="E56" i="2"/>
  <c r="E64" i="2" s="1"/>
  <c r="D56" i="2"/>
  <c r="C56" i="2"/>
  <c r="W56" i="2" s="1"/>
  <c r="B56" i="2"/>
  <c r="U55" i="2"/>
  <c r="T55" i="2"/>
  <c r="T64" i="2" s="1"/>
  <c r="S55" i="2"/>
  <c r="R55" i="2"/>
  <c r="Q55" i="2"/>
  <c r="P55" i="2"/>
  <c r="O55" i="2"/>
  <c r="O64" i="2" s="1"/>
  <c r="N55" i="2"/>
  <c r="M55" i="2"/>
  <c r="L55" i="2"/>
  <c r="K55" i="2"/>
  <c r="J55" i="2"/>
  <c r="I55" i="2"/>
  <c r="H55" i="2"/>
  <c r="H64" i="2" s="1"/>
  <c r="G55" i="2"/>
  <c r="F55" i="2"/>
  <c r="E55" i="2"/>
  <c r="D55" i="2"/>
  <c r="C55" i="2"/>
  <c r="W55" i="2" s="1"/>
  <c r="B55" i="2"/>
  <c r="V55" i="2" s="1"/>
  <c r="W54" i="2"/>
  <c r="U54" i="2"/>
  <c r="T54" i="2"/>
  <c r="S54" i="2"/>
  <c r="R54" i="2"/>
  <c r="R64" i="2" s="1"/>
  <c r="Q54" i="2"/>
  <c r="P54" i="2"/>
  <c r="P64" i="2" s="1"/>
  <c r="O54" i="2"/>
  <c r="N54" i="2"/>
  <c r="M54" i="2"/>
  <c r="M64" i="2" s="1"/>
  <c r="L54" i="2"/>
  <c r="K54" i="2"/>
  <c r="K64" i="2" s="1"/>
  <c r="J54" i="2"/>
  <c r="J64" i="2" s="1"/>
  <c r="I54" i="2"/>
  <c r="H54" i="2"/>
  <c r="G54" i="2"/>
  <c r="F54" i="2"/>
  <c r="F64" i="2" s="1"/>
  <c r="E54" i="2"/>
  <c r="D54" i="2"/>
  <c r="D64" i="2" s="1"/>
  <c r="C54" i="2"/>
  <c r="B54" i="2"/>
  <c r="W53" i="2"/>
  <c r="V53" i="2"/>
  <c r="U52" i="2"/>
  <c r="T52" i="2"/>
  <c r="S52" i="2"/>
  <c r="R52" i="2"/>
  <c r="Q52" i="2"/>
  <c r="P52" i="2"/>
  <c r="O52" i="2"/>
  <c r="N52" i="2"/>
  <c r="M52" i="2"/>
  <c r="L52" i="2"/>
  <c r="K52" i="2"/>
  <c r="W52" i="2" s="1"/>
  <c r="I52" i="2"/>
  <c r="H52" i="2"/>
  <c r="G52" i="2"/>
  <c r="F52" i="2"/>
  <c r="E52" i="2"/>
  <c r="D52" i="2"/>
  <c r="C52" i="2"/>
  <c r="B52" i="2"/>
  <c r="W51" i="2"/>
  <c r="J51" i="2"/>
  <c r="V51" i="2" s="1"/>
  <c r="W50" i="2"/>
  <c r="V50" i="2"/>
  <c r="U49" i="2"/>
  <c r="T49" i="2"/>
  <c r="S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W49" i="2" s="1"/>
  <c r="B49" i="2"/>
  <c r="W48" i="2"/>
  <c r="V48" i="2"/>
  <c r="N48" i="2"/>
  <c r="W47" i="2"/>
  <c r="R47" i="2"/>
  <c r="R49" i="2" s="1"/>
  <c r="P47" i="2"/>
  <c r="V47" i="2" s="1"/>
  <c r="W46" i="2"/>
  <c r="N46" i="2"/>
  <c r="V46" i="2" s="1"/>
  <c r="W45" i="2"/>
  <c r="V45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V42" i="2" s="1"/>
  <c r="G42" i="2"/>
  <c r="F42" i="2"/>
  <c r="E42" i="2"/>
  <c r="D42" i="2"/>
  <c r="C42" i="2"/>
  <c r="W42" i="2" s="1"/>
  <c r="B42" i="2"/>
  <c r="V41" i="2"/>
  <c r="U41" i="2"/>
  <c r="S41" i="2"/>
  <c r="Q41" i="2"/>
  <c r="O41" i="2"/>
  <c r="M41" i="2"/>
  <c r="W41" i="2" s="1"/>
  <c r="K41" i="2"/>
  <c r="I41" i="2"/>
  <c r="G41" i="2"/>
  <c r="E41" i="2"/>
  <c r="C41" i="2"/>
  <c r="W40" i="2"/>
  <c r="T40" i="2"/>
  <c r="R40" i="2"/>
  <c r="P40" i="2"/>
  <c r="N40" i="2"/>
  <c r="L40" i="2"/>
  <c r="V40" i="2" s="1"/>
  <c r="J40" i="2"/>
  <c r="H40" i="2"/>
  <c r="F40" i="2"/>
  <c r="D40" i="2"/>
  <c r="B40" i="2"/>
  <c r="W39" i="2"/>
  <c r="R39" i="2"/>
  <c r="P39" i="2"/>
  <c r="V39" i="2" s="1"/>
  <c r="U38" i="2"/>
  <c r="U43" i="2" s="1"/>
  <c r="T38" i="2"/>
  <c r="T43" i="2" s="1"/>
  <c r="S38" i="2"/>
  <c r="S43" i="2" s="1"/>
  <c r="R38" i="2"/>
  <c r="R43" i="2" s="1"/>
  <c r="Q38" i="2"/>
  <c r="Q43" i="2" s="1"/>
  <c r="P38" i="2"/>
  <c r="P43" i="2" s="1"/>
  <c r="O38" i="2"/>
  <c r="O43" i="2" s="1"/>
  <c r="N38" i="2"/>
  <c r="N43" i="2" s="1"/>
  <c r="M38" i="2"/>
  <c r="M43" i="2" s="1"/>
  <c r="L38" i="2"/>
  <c r="L43" i="2" s="1"/>
  <c r="L44" i="2" s="1"/>
  <c r="K38" i="2"/>
  <c r="K43" i="2" s="1"/>
  <c r="J38" i="2"/>
  <c r="J43" i="2" s="1"/>
  <c r="I38" i="2"/>
  <c r="W38" i="2" s="1"/>
  <c r="H38" i="2"/>
  <c r="H43" i="2" s="1"/>
  <c r="G38" i="2"/>
  <c r="G43" i="2" s="1"/>
  <c r="F38" i="2"/>
  <c r="F43" i="2" s="1"/>
  <c r="E38" i="2"/>
  <c r="E43" i="2" s="1"/>
  <c r="D38" i="2"/>
  <c r="D43" i="2" s="1"/>
  <c r="C38" i="2"/>
  <c r="C43" i="2" s="1"/>
  <c r="B38" i="2"/>
  <c r="B43" i="2" s="1"/>
  <c r="W37" i="2"/>
  <c r="V37" i="2"/>
  <c r="U36" i="2"/>
  <c r="T36" i="2"/>
  <c r="S36" i="2"/>
  <c r="R36" i="2"/>
  <c r="Q36" i="2"/>
  <c r="P36" i="2"/>
  <c r="O36" i="2"/>
  <c r="N36" i="2"/>
  <c r="M36" i="2"/>
  <c r="L36" i="2"/>
  <c r="K36" i="2"/>
  <c r="J36" i="2"/>
  <c r="V36" i="2" s="1"/>
  <c r="I36" i="2"/>
  <c r="W36" i="2" s="1"/>
  <c r="H36" i="2"/>
  <c r="G36" i="2"/>
  <c r="F36" i="2"/>
  <c r="E36" i="2"/>
  <c r="D36" i="2"/>
  <c r="C36" i="2"/>
  <c r="B36" i="2"/>
  <c r="W35" i="2"/>
  <c r="R35" i="2"/>
  <c r="P35" i="2"/>
  <c r="N35" i="2"/>
  <c r="V35" i="2" s="1"/>
  <c r="L35" i="2"/>
  <c r="J35" i="2"/>
  <c r="H35" i="2"/>
  <c r="F35" i="2"/>
  <c r="D35" i="2"/>
  <c r="B35" i="2"/>
  <c r="U34" i="2"/>
  <c r="T34" i="2"/>
  <c r="S34" i="2"/>
  <c r="R34" i="2"/>
  <c r="Q34" i="2"/>
  <c r="O34" i="2"/>
  <c r="N34" i="2"/>
  <c r="M34" i="2"/>
  <c r="L34" i="2"/>
  <c r="K34" i="2"/>
  <c r="J34" i="2"/>
  <c r="I34" i="2"/>
  <c r="H34" i="2"/>
  <c r="G34" i="2"/>
  <c r="F34" i="2"/>
  <c r="V34" i="2" s="1"/>
  <c r="E34" i="2"/>
  <c r="W34" i="2" s="1"/>
  <c r="C34" i="2"/>
  <c r="B34" i="2"/>
  <c r="U33" i="2"/>
  <c r="U44" i="2" s="1"/>
  <c r="T33" i="2"/>
  <c r="T44" i="2" s="1"/>
  <c r="S33" i="2"/>
  <c r="R33" i="2"/>
  <c r="Q33" i="2"/>
  <c r="P33" i="2"/>
  <c r="P44" i="2" s="1"/>
  <c r="P95" i="2" s="1"/>
  <c r="O33" i="2"/>
  <c r="N33" i="2"/>
  <c r="M33" i="2"/>
  <c r="L33" i="2"/>
  <c r="K33" i="2"/>
  <c r="K44" i="2" s="1"/>
  <c r="K95" i="2" s="1"/>
  <c r="J33" i="2"/>
  <c r="J44" i="2" s="1"/>
  <c r="I33" i="2"/>
  <c r="H33" i="2"/>
  <c r="H44" i="2" s="1"/>
  <c r="G33" i="2"/>
  <c r="F33" i="2"/>
  <c r="E33" i="2"/>
  <c r="D33" i="2"/>
  <c r="D44" i="2" s="1"/>
  <c r="C33" i="2"/>
  <c r="W33" i="2" s="1"/>
  <c r="B33" i="2"/>
  <c r="V33" i="2" s="1"/>
  <c r="W32" i="2"/>
  <c r="V32" i="2"/>
  <c r="W28" i="2"/>
  <c r="V28" i="2"/>
  <c r="P28" i="2"/>
  <c r="L28" i="2"/>
  <c r="F28" i="2"/>
  <c r="B28" i="2"/>
  <c r="U27" i="2"/>
  <c r="T27" i="2"/>
  <c r="S27" i="2"/>
  <c r="R27" i="2"/>
  <c r="Q27" i="2"/>
  <c r="P27" i="2"/>
  <c r="L27" i="2"/>
  <c r="J27" i="2"/>
  <c r="G27" i="2"/>
  <c r="F27" i="2"/>
  <c r="E27" i="2"/>
  <c r="D27" i="2"/>
  <c r="U26" i="2"/>
  <c r="S26" i="2"/>
  <c r="Q26" i="2"/>
  <c r="O26" i="2"/>
  <c r="O27" i="2" s="1"/>
  <c r="M26" i="2"/>
  <c r="M27" i="2" s="1"/>
  <c r="K26" i="2"/>
  <c r="K27" i="2" s="1"/>
  <c r="I26" i="2"/>
  <c r="I27" i="2" s="1"/>
  <c r="H26" i="2"/>
  <c r="H27" i="2" s="1"/>
  <c r="G26" i="2"/>
  <c r="F26" i="2"/>
  <c r="E26" i="2"/>
  <c r="W26" i="2" s="1"/>
  <c r="D26" i="2"/>
  <c r="C26" i="2"/>
  <c r="C27" i="2" s="1"/>
  <c r="B26" i="2"/>
  <c r="B27" i="2" s="1"/>
  <c r="W25" i="2"/>
  <c r="R25" i="2"/>
  <c r="N25" i="2"/>
  <c r="N27" i="2" s="1"/>
  <c r="U24" i="2"/>
  <c r="S24" i="2"/>
  <c r="R24" i="2"/>
  <c r="Q24" i="2"/>
  <c r="P24" i="2"/>
  <c r="O24" i="2"/>
  <c r="N24" i="2"/>
  <c r="M24" i="2"/>
  <c r="L24" i="2"/>
  <c r="K24" i="2"/>
  <c r="W24" i="2" s="1"/>
  <c r="J24" i="2"/>
  <c r="I24" i="2"/>
  <c r="G24" i="2"/>
  <c r="E24" i="2"/>
  <c r="C24" i="2"/>
  <c r="W23" i="2"/>
  <c r="J23" i="2"/>
  <c r="V23" i="2" s="1"/>
  <c r="W22" i="2"/>
  <c r="T22" i="2"/>
  <c r="T24" i="2" s="1"/>
  <c r="T29" i="2" s="1"/>
  <c r="T30" i="2" s="1"/>
  <c r="R22" i="2"/>
  <c r="P22" i="2"/>
  <c r="N22" i="2"/>
  <c r="L22" i="2"/>
  <c r="J22" i="2"/>
  <c r="H22" i="2"/>
  <c r="H24" i="2" s="1"/>
  <c r="F22" i="2"/>
  <c r="F24" i="2" s="1"/>
  <c r="D22" i="2"/>
  <c r="D24" i="2" s="1"/>
  <c r="B22" i="2"/>
  <c r="V22" i="2" s="1"/>
  <c r="W21" i="2"/>
  <c r="V21" i="2"/>
  <c r="U20" i="2"/>
  <c r="T20" i="2"/>
  <c r="S20" i="2"/>
  <c r="R20" i="2"/>
  <c r="Q20" i="2"/>
  <c r="P20" i="2"/>
  <c r="O20" i="2"/>
  <c r="N20" i="2"/>
  <c r="M20" i="2"/>
  <c r="K20" i="2"/>
  <c r="I20" i="2"/>
  <c r="G20" i="2"/>
  <c r="E20" i="2"/>
  <c r="C20" i="2"/>
  <c r="W20" i="2" s="1"/>
  <c r="B20" i="2"/>
  <c r="W19" i="2"/>
  <c r="R19" i="2"/>
  <c r="P19" i="2"/>
  <c r="N19" i="2"/>
  <c r="L19" i="2"/>
  <c r="J19" i="2"/>
  <c r="J20" i="2" s="1"/>
  <c r="H19" i="2"/>
  <c r="F19" i="2"/>
  <c r="D19" i="2"/>
  <c r="D20" i="2" s="1"/>
  <c r="B19" i="2"/>
  <c r="V19" i="2" s="1"/>
  <c r="W18" i="2"/>
  <c r="V18" i="2"/>
  <c r="R18" i="2"/>
  <c r="P18" i="2"/>
  <c r="N18" i="2"/>
  <c r="L18" i="2"/>
  <c r="L20" i="2" s="1"/>
  <c r="J18" i="2"/>
  <c r="H18" i="2"/>
  <c r="H20" i="2" s="1"/>
  <c r="F18" i="2"/>
  <c r="F20" i="2" s="1"/>
  <c r="W17" i="2"/>
  <c r="V17" i="2"/>
  <c r="U16" i="2"/>
  <c r="U29" i="2" s="1"/>
  <c r="U30" i="2" s="1"/>
  <c r="T16" i="2"/>
  <c r="W15" i="2"/>
  <c r="R15" i="2"/>
  <c r="P15" i="2"/>
  <c r="N15" i="2"/>
  <c r="V15" i="2" s="1"/>
  <c r="L15" i="2"/>
  <c r="J15" i="2"/>
  <c r="H15" i="2"/>
  <c r="F15" i="2"/>
  <c r="W14" i="2"/>
  <c r="R14" i="2"/>
  <c r="P14" i="2"/>
  <c r="N14" i="2"/>
  <c r="L14" i="2"/>
  <c r="J14" i="2"/>
  <c r="H14" i="2"/>
  <c r="V14" i="2" s="1"/>
  <c r="F14" i="2"/>
  <c r="U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W13" i="2" s="1"/>
  <c r="B13" i="2"/>
  <c r="V13" i="2" s="1"/>
  <c r="V12" i="2"/>
  <c r="U12" i="2"/>
  <c r="S12" i="2"/>
  <c r="R12" i="2"/>
  <c r="Q12" i="2"/>
  <c r="P12" i="2"/>
  <c r="O12" i="2"/>
  <c r="N12" i="2"/>
  <c r="M12" i="2"/>
  <c r="L12" i="2"/>
  <c r="K12" i="2"/>
  <c r="J12" i="2"/>
  <c r="J16" i="2" s="1"/>
  <c r="I12" i="2"/>
  <c r="W12" i="2" s="1"/>
  <c r="H12" i="2"/>
  <c r="G12" i="2"/>
  <c r="F12" i="2"/>
  <c r="E12" i="2"/>
  <c r="D12" i="2"/>
  <c r="C12" i="2"/>
  <c r="U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W11" i="2" s="1"/>
  <c r="D11" i="2"/>
  <c r="C11" i="2"/>
  <c r="B11" i="2"/>
  <c r="V11" i="2" s="1"/>
  <c r="U10" i="2"/>
  <c r="S10" i="2"/>
  <c r="R10" i="2"/>
  <c r="Q10" i="2"/>
  <c r="P10" i="2"/>
  <c r="O10" i="2"/>
  <c r="O16" i="2" s="1"/>
  <c r="O29" i="2" s="1"/>
  <c r="O30" i="2" s="1"/>
  <c r="N10" i="2"/>
  <c r="M10" i="2"/>
  <c r="L10" i="2"/>
  <c r="K10" i="2"/>
  <c r="J10" i="2"/>
  <c r="I10" i="2"/>
  <c r="H10" i="2"/>
  <c r="G10" i="2"/>
  <c r="F10" i="2"/>
  <c r="E10" i="2"/>
  <c r="D10" i="2"/>
  <c r="D16" i="2" s="1"/>
  <c r="C10" i="2"/>
  <c r="W10" i="2" s="1"/>
  <c r="B10" i="2"/>
  <c r="B16" i="2" s="1"/>
  <c r="U9" i="2"/>
  <c r="S9" i="2"/>
  <c r="S16" i="2" s="1"/>
  <c r="S29" i="2" s="1"/>
  <c r="S30" i="2" s="1"/>
  <c r="R9" i="2"/>
  <c r="R16" i="2" s="1"/>
  <c r="R29" i="2" s="1"/>
  <c r="R30" i="2" s="1"/>
  <c r="Q9" i="2"/>
  <c r="Q16" i="2" s="1"/>
  <c r="Q29" i="2" s="1"/>
  <c r="Q30" i="2" s="1"/>
  <c r="P9" i="2"/>
  <c r="P16" i="2" s="1"/>
  <c r="P29" i="2" s="1"/>
  <c r="P30" i="2" s="1"/>
  <c r="P96" i="2" s="1"/>
  <c r="P97" i="2" s="1"/>
  <c r="O9" i="2"/>
  <c r="N9" i="2"/>
  <c r="N16" i="2" s="1"/>
  <c r="M9" i="2"/>
  <c r="M16" i="2" s="1"/>
  <c r="M29" i="2" s="1"/>
  <c r="M30" i="2" s="1"/>
  <c r="L9" i="2"/>
  <c r="L16" i="2" s="1"/>
  <c r="L29" i="2" s="1"/>
  <c r="L30" i="2" s="1"/>
  <c r="K9" i="2"/>
  <c r="K16" i="2" s="1"/>
  <c r="K29" i="2" s="1"/>
  <c r="K30" i="2" s="1"/>
  <c r="K96" i="2" s="1"/>
  <c r="K97" i="2" s="1"/>
  <c r="J9" i="2"/>
  <c r="I9" i="2"/>
  <c r="H9" i="2"/>
  <c r="H16" i="2" s="1"/>
  <c r="G9" i="2"/>
  <c r="G16" i="2" s="1"/>
  <c r="G29" i="2" s="1"/>
  <c r="G30" i="2" s="1"/>
  <c r="F9" i="2"/>
  <c r="F16" i="2" s="1"/>
  <c r="E9" i="2"/>
  <c r="E16" i="2" s="1"/>
  <c r="E29" i="2" s="1"/>
  <c r="E30" i="2" s="1"/>
  <c r="C9" i="2"/>
  <c r="W9" i="2" s="1"/>
  <c r="B9" i="2"/>
  <c r="V9" i="2" s="1"/>
  <c r="W8" i="2"/>
  <c r="V8" i="2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T25" i="1"/>
  <c r="G25" i="1" s="1"/>
  <c r="T24" i="1"/>
  <c r="G24" i="1"/>
  <c r="T7" i="1"/>
  <c r="T8" i="1"/>
  <c r="T9" i="1"/>
  <c r="T11" i="1"/>
  <c r="T12" i="1"/>
  <c r="T26" i="3" l="1"/>
  <c r="T34" i="3" s="1"/>
  <c r="T45" i="3" s="1"/>
  <c r="T85" i="3" s="1"/>
  <c r="G30" i="3"/>
  <c r="G63" i="3"/>
  <c r="U73" i="3"/>
  <c r="G73" i="3" s="1"/>
  <c r="I26" i="3"/>
  <c r="K26" i="3"/>
  <c r="H26" i="3"/>
  <c r="M26" i="3"/>
  <c r="N26" i="3"/>
  <c r="O26" i="3"/>
  <c r="P26" i="3"/>
  <c r="Q26" i="3"/>
  <c r="L26" i="3"/>
  <c r="U17" i="3"/>
  <c r="G17" i="3" s="1"/>
  <c r="R26" i="3"/>
  <c r="S26" i="3"/>
  <c r="U44" i="3"/>
  <c r="U14" i="3"/>
  <c r="J26" i="3"/>
  <c r="P85" i="3"/>
  <c r="S85" i="3"/>
  <c r="U78" i="3"/>
  <c r="I85" i="3"/>
  <c r="R85" i="3"/>
  <c r="K85" i="3"/>
  <c r="L85" i="3"/>
  <c r="M85" i="3"/>
  <c r="N85" i="3"/>
  <c r="O85" i="3"/>
  <c r="Q85" i="3"/>
  <c r="J85" i="3"/>
  <c r="H84" i="3"/>
  <c r="H45" i="3"/>
  <c r="U61" i="3"/>
  <c r="G61" i="3" s="1"/>
  <c r="G16" i="3"/>
  <c r="V43" i="2"/>
  <c r="M44" i="2"/>
  <c r="N29" i="2"/>
  <c r="N30" i="2" s="1"/>
  <c r="N44" i="2"/>
  <c r="N95" i="2" s="1"/>
  <c r="V92" i="2"/>
  <c r="W92" i="2"/>
  <c r="L96" i="2"/>
  <c r="L97" i="2" s="1"/>
  <c r="D95" i="2"/>
  <c r="M82" i="2"/>
  <c r="W27" i="2"/>
  <c r="E44" i="2"/>
  <c r="E95" i="2" s="1"/>
  <c r="E96" i="2" s="1"/>
  <c r="E97" i="2" s="1"/>
  <c r="Q44" i="2"/>
  <c r="Q95" i="2" s="1"/>
  <c r="Q96" i="2" s="1"/>
  <c r="Q97" i="2" s="1"/>
  <c r="G82" i="2"/>
  <c r="S82" i="2"/>
  <c r="L95" i="2"/>
  <c r="D29" i="2"/>
  <c r="D30" i="2" s="1"/>
  <c r="O44" i="2"/>
  <c r="O95" i="2" s="1"/>
  <c r="F29" i="2"/>
  <c r="F30" i="2" s="1"/>
  <c r="F96" i="2" s="1"/>
  <c r="F97" i="2" s="1"/>
  <c r="R96" i="2"/>
  <c r="R97" i="2" s="1"/>
  <c r="J29" i="2"/>
  <c r="J30" i="2" s="1"/>
  <c r="F44" i="2"/>
  <c r="F95" i="2" s="1"/>
  <c r="R44" i="2"/>
  <c r="R95" i="2" s="1"/>
  <c r="L82" i="2"/>
  <c r="V78" i="2"/>
  <c r="G44" i="2"/>
  <c r="G95" i="2" s="1"/>
  <c r="G96" i="2" s="1"/>
  <c r="G97" i="2" s="1"/>
  <c r="S44" i="2"/>
  <c r="S95" i="2" s="1"/>
  <c r="S96" i="2" s="1"/>
  <c r="S97" i="2" s="1"/>
  <c r="V64" i="2"/>
  <c r="I82" i="2"/>
  <c r="U82" i="2"/>
  <c r="W78" i="2"/>
  <c r="V49" i="2"/>
  <c r="V20" i="2"/>
  <c r="V27" i="2"/>
  <c r="H29" i="2"/>
  <c r="H30" i="2" s="1"/>
  <c r="H95" i="2"/>
  <c r="T95" i="2"/>
  <c r="T96" i="2" s="1"/>
  <c r="T97" i="2" s="1"/>
  <c r="J82" i="2"/>
  <c r="O96" i="2"/>
  <c r="O97" i="2" s="1"/>
  <c r="V16" i="2"/>
  <c r="U95" i="2"/>
  <c r="U96" i="2" s="1"/>
  <c r="U97" i="2" s="1"/>
  <c r="I16" i="2"/>
  <c r="I29" i="2" s="1"/>
  <c r="I30" i="2" s="1"/>
  <c r="I43" i="2"/>
  <c r="I44" i="2" s="1"/>
  <c r="I95" i="2" s="1"/>
  <c r="J52" i="2"/>
  <c r="J95" i="2" s="1"/>
  <c r="V54" i="2"/>
  <c r="V67" i="2"/>
  <c r="V85" i="2"/>
  <c r="V66" i="2"/>
  <c r="V74" i="2"/>
  <c r="B82" i="2"/>
  <c r="B44" i="2"/>
  <c r="W66" i="2"/>
  <c r="C82" i="2"/>
  <c r="B24" i="2"/>
  <c r="V24" i="2" s="1"/>
  <c r="V25" i="2"/>
  <c r="C44" i="2"/>
  <c r="V59" i="2"/>
  <c r="W72" i="2"/>
  <c r="V10" i="2"/>
  <c r="V26" i="2"/>
  <c r="C64" i="2"/>
  <c r="W64" i="2" s="1"/>
  <c r="V38" i="2"/>
  <c r="C16" i="2"/>
  <c r="V86" i="2"/>
  <c r="W85" i="2"/>
  <c r="W86" i="2"/>
  <c r="T35" i="1"/>
  <c r="G35" i="1" s="1"/>
  <c r="H45" i="1"/>
  <c r="I45" i="1"/>
  <c r="J45" i="1"/>
  <c r="K45" i="1"/>
  <c r="L45" i="1"/>
  <c r="M45" i="1"/>
  <c r="N45" i="1"/>
  <c r="O45" i="1"/>
  <c r="P45" i="1"/>
  <c r="Q45" i="1"/>
  <c r="R45" i="1"/>
  <c r="S45" i="1"/>
  <c r="T44" i="1"/>
  <c r="G44" i="1" s="1"/>
  <c r="H13" i="1"/>
  <c r="I13" i="1"/>
  <c r="J13" i="1"/>
  <c r="K13" i="1"/>
  <c r="L13" i="1"/>
  <c r="M13" i="1"/>
  <c r="N13" i="1"/>
  <c r="O13" i="1"/>
  <c r="P13" i="1"/>
  <c r="Q13" i="1"/>
  <c r="R13" i="1"/>
  <c r="S13" i="1"/>
  <c r="G12" i="1"/>
  <c r="O87" i="3" l="1"/>
  <c r="G78" i="3"/>
  <c r="U84" i="3"/>
  <c r="G84" i="3" s="1"/>
  <c r="G14" i="3"/>
  <c r="U26" i="3"/>
  <c r="G26" i="3" s="1"/>
  <c r="G44" i="3"/>
  <c r="U45" i="3"/>
  <c r="T87" i="3"/>
  <c r="K87" i="3"/>
  <c r="N87" i="3"/>
  <c r="M87" i="3"/>
  <c r="R87" i="3"/>
  <c r="I87" i="3"/>
  <c r="Q87" i="3"/>
  <c r="P87" i="3"/>
  <c r="S87" i="3"/>
  <c r="L87" i="3"/>
  <c r="J87" i="3"/>
  <c r="H85" i="3"/>
  <c r="V52" i="2"/>
  <c r="C95" i="2"/>
  <c r="W95" i="2" s="1"/>
  <c r="W44" i="2"/>
  <c r="I96" i="2"/>
  <c r="I97" i="2" s="1"/>
  <c r="N96" i="2"/>
  <c r="N97" i="2" s="1"/>
  <c r="D96" i="2"/>
  <c r="D97" i="2" s="1"/>
  <c r="H96" i="2"/>
  <c r="H97" i="2" s="1"/>
  <c r="W82" i="2"/>
  <c r="W43" i="2"/>
  <c r="M95" i="2"/>
  <c r="M96" i="2" s="1"/>
  <c r="M97" i="2" s="1"/>
  <c r="C29" i="2"/>
  <c r="W16" i="2"/>
  <c r="V44" i="2"/>
  <c r="B95" i="2"/>
  <c r="V95" i="2" s="1"/>
  <c r="V82" i="2"/>
  <c r="B29" i="2"/>
  <c r="J96" i="2"/>
  <c r="J97" i="2" s="1"/>
  <c r="T45" i="1"/>
  <c r="G21" i="1"/>
  <c r="T19" i="1"/>
  <c r="G19" i="1" s="1"/>
  <c r="T20" i="1"/>
  <c r="G20" i="1" s="1"/>
  <c r="U85" i="3" l="1"/>
  <c r="G45" i="3"/>
  <c r="U87" i="3"/>
  <c r="H87" i="3"/>
  <c r="H89" i="3" s="1"/>
  <c r="I89" i="3" s="1"/>
  <c r="J89" i="3" s="1"/>
  <c r="K89" i="3" s="1"/>
  <c r="L89" i="3" s="1"/>
  <c r="M89" i="3" s="1"/>
  <c r="N89" i="3" s="1"/>
  <c r="O89" i="3" s="1"/>
  <c r="P89" i="3" s="1"/>
  <c r="Q89" i="3" s="1"/>
  <c r="R89" i="3" s="1"/>
  <c r="S89" i="3" s="1"/>
  <c r="V29" i="2"/>
  <c r="B30" i="2"/>
  <c r="W29" i="2"/>
  <c r="C30" i="2"/>
  <c r="T22" i="1"/>
  <c r="G22" i="1" s="1"/>
  <c r="T23" i="1"/>
  <c r="G23" i="1" s="1"/>
  <c r="I94" i="1"/>
  <c r="J94" i="1"/>
  <c r="K94" i="1"/>
  <c r="L94" i="1"/>
  <c r="M94" i="1"/>
  <c r="N94" i="1"/>
  <c r="O94" i="1"/>
  <c r="P94" i="1"/>
  <c r="Q94" i="1"/>
  <c r="R94" i="1"/>
  <c r="S94" i="1"/>
  <c r="H94" i="1"/>
  <c r="T93" i="1"/>
  <c r="G93" i="1" s="1"/>
  <c r="I86" i="1"/>
  <c r="I91" i="1" s="1"/>
  <c r="J86" i="1"/>
  <c r="J91" i="1" s="1"/>
  <c r="K86" i="1"/>
  <c r="K91" i="1" s="1"/>
  <c r="L86" i="1"/>
  <c r="L91" i="1" s="1"/>
  <c r="M86" i="1"/>
  <c r="M91" i="1" s="1"/>
  <c r="N86" i="1"/>
  <c r="N91" i="1" s="1"/>
  <c r="O86" i="1"/>
  <c r="O91" i="1" s="1"/>
  <c r="P86" i="1"/>
  <c r="P91" i="1" s="1"/>
  <c r="Q86" i="1"/>
  <c r="Q91" i="1" s="1"/>
  <c r="R86" i="1"/>
  <c r="R91" i="1" s="1"/>
  <c r="S86" i="1"/>
  <c r="S91" i="1" s="1"/>
  <c r="H86" i="1"/>
  <c r="T85" i="1"/>
  <c r="G85" i="1" s="1"/>
  <c r="T87" i="1"/>
  <c r="G87" i="1" s="1"/>
  <c r="T88" i="1"/>
  <c r="G88" i="1" s="1"/>
  <c r="T89" i="1"/>
  <c r="G89" i="1" s="1"/>
  <c r="T90" i="1"/>
  <c r="G90" i="1" s="1"/>
  <c r="T84" i="1"/>
  <c r="G84" i="1" s="1"/>
  <c r="T80" i="1"/>
  <c r="G80" i="1" s="1"/>
  <c r="T79" i="1"/>
  <c r="G79" i="1" s="1"/>
  <c r="T78" i="1"/>
  <c r="G78" i="1" s="1"/>
  <c r="I77" i="1"/>
  <c r="J77" i="1"/>
  <c r="J81" i="1" s="1"/>
  <c r="K77" i="1"/>
  <c r="K81" i="1" s="1"/>
  <c r="L77" i="1"/>
  <c r="L81" i="1" s="1"/>
  <c r="M77" i="1"/>
  <c r="M81" i="1" s="1"/>
  <c r="N77" i="1"/>
  <c r="N81" i="1" s="1"/>
  <c r="O77" i="1"/>
  <c r="O81" i="1" s="1"/>
  <c r="P77" i="1"/>
  <c r="P81" i="1" s="1"/>
  <c r="Q77" i="1"/>
  <c r="Q81" i="1" s="1"/>
  <c r="R77" i="1"/>
  <c r="R81" i="1" s="1"/>
  <c r="S77" i="1"/>
  <c r="S81" i="1" s="1"/>
  <c r="H77" i="1"/>
  <c r="H81" i="1" s="1"/>
  <c r="T76" i="1"/>
  <c r="G76" i="1" s="1"/>
  <c r="T75" i="1"/>
  <c r="G75" i="1" s="1"/>
  <c r="T74" i="1"/>
  <c r="G74" i="1" s="1"/>
  <c r="T73" i="1"/>
  <c r="G73" i="1" s="1"/>
  <c r="T72" i="1"/>
  <c r="G72" i="1" s="1"/>
  <c r="T70" i="1"/>
  <c r="G70" i="1" s="1"/>
  <c r="T69" i="1"/>
  <c r="G69" i="1" s="1"/>
  <c r="T68" i="1"/>
  <c r="G68" i="1" s="1"/>
  <c r="T67" i="1"/>
  <c r="G67" i="1" s="1"/>
  <c r="T66" i="1"/>
  <c r="G66" i="1" s="1"/>
  <c r="T65" i="1"/>
  <c r="G65" i="1" s="1"/>
  <c r="I51" i="1"/>
  <c r="J51" i="1"/>
  <c r="K51" i="1"/>
  <c r="M51" i="1"/>
  <c r="N51" i="1"/>
  <c r="O51" i="1"/>
  <c r="P51" i="1"/>
  <c r="Q51" i="1"/>
  <c r="R51" i="1"/>
  <c r="S51" i="1"/>
  <c r="H51" i="1"/>
  <c r="I63" i="1"/>
  <c r="J63" i="1"/>
  <c r="K63" i="1"/>
  <c r="L63" i="1"/>
  <c r="M63" i="1"/>
  <c r="N63" i="1"/>
  <c r="O63" i="1"/>
  <c r="P63" i="1"/>
  <c r="Q63" i="1"/>
  <c r="R63" i="1"/>
  <c r="S63" i="1"/>
  <c r="H63" i="1"/>
  <c r="T62" i="1"/>
  <c r="G62" i="1" s="1"/>
  <c r="T61" i="1"/>
  <c r="G61" i="1" s="1"/>
  <c r="T60" i="1"/>
  <c r="G60" i="1" s="1"/>
  <c r="T59" i="1"/>
  <c r="G59" i="1" s="1"/>
  <c r="T58" i="1"/>
  <c r="G58" i="1" s="1"/>
  <c r="T57" i="1"/>
  <c r="G57" i="1" s="1"/>
  <c r="T56" i="1"/>
  <c r="G56" i="1" s="1"/>
  <c r="T55" i="1"/>
  <c r="G55" i="1" s="1"/>
  <c r="T54" i="1"/>
  <c r="G54" i="1" s="1"/>
  <c r="T53" i="1"/>
  <c r="G53" i="1" s="1"/>
  <c r="T50" i="1"/>
  <c r="G50" i="1" s="1"/>
  <c r="T49" i="1"/>
  <c r="G49" i="1" s="1"/>
  <c r="T48" i="1"/>
  <c r="G48" i="1" s="1"/>
  <c r="T36" i="1"/>
  <c r="G36" i="1" s="1"/>
  <c r="I46" i="1"/>
  <c r="J46" i="1"/>
  <c r="K46" i="1"/>
  <c r="L46" i="1"/>
  <c r="M46" i="1"/>
  <c r="N46" i="1"/>
  <c r="O46" i="1"/>
  <c r="P46" i="1"/>
  <c r="Q46" i="1"/>
  <c r="R46" i="1"/>
  <c r="S46" i="1"/>
  <c r="H46" i="1"/>
  <c r="T40" i="1"/>
  <c r="G40" i="1" s="1"/>
  <c r="T41" i="1"/>
  <c r="G41" i="1" s="1"/>
  <c r="T42" i="1"/>
  <c r="G42" i="1" s="1"/>
  <c r="T43" i="1"/>
  <c r="G43" i="1" s="1"/>
  <c r="T38" i="1"/>
  <c r="G38" i="1" s="1"/>
  <c r="T39" i="1"/>
  <c r="G39" i="1" s="1"/>
  <c r="T37" i="1"/>
  <c r="G37" i="1" s="1"/>
  <c r="T31" i="1"/>
  <c r="G31" i="1" s="1"/>
  <c r="T32" i="1"/>
  <c r="G32" i="1" s="1"/>
  <c r="T33" i="1"/>
  <c r="G33" i="1" s="1"/>
  <c r="T34" i="1"/>
  <c r="G34" i="1" s="1"/>
  <c r="T30" i="1"/>
  <c r="G30" i="1" s="1"/>
  <c r="I17" i="1"/>
  <c r="J17" i="1"/>
  <c r="K17" i="1"/>
  <c r="L17" i="1"/>
  <c r="M17" i="1"/>
  <c r="N17" i="1"/>
  <c r="O17" i="1"/>
  <c r="P17" i="1"/>
  <c r="Q17" i="1"/>
  <c r="R17" i="1"/>
  <c r="S17" i="1"/>
  <c r="H17" i="1"/>
  <c r="T16" i="1"/>
  <c r="G16" i="1" s="1"/>
  <c r="T15" i="1"/>
  <c r="G11" i="1"/>
  <c r="T10" i="1"/>
  <c r="G10" i="1" s="1"/>
  <c r="G9" i="1"/>
  <c r="G8" i="1"/>
  <c r="G85" i="3" l="1"/>
  <c r="W30" i="2"/>
  <c r="C96" i="2"/>
  <c r="V30" i="2"/>
  <c r="B96" i="2"/>
  <c r="G7" i="1"/>
  <c r="T13" i="1"/>
  <c r="J95" i="1"/>
  <c r="T86" i="1"/>
  <c r="G86" i="1" s="1"/>
  <c r="H91" i="1"/>
  <c r="T91" i="1" s="1"/>
  <c r="G91" i="1" s="1"/>
  <c r="T77" i="1"/>
  <c r="G77" i="1" s="1"/>
  <c r="T17" i="1"/>
  <c r="G17" i="1" s="1"/>
  <c r="G15" i="1"/>
  <c r="R95" i="1"/>
  <c r="Q95" i="1"/>
  <c r="P95" i="1"/>
  <c r="O95" i="1"/>
  <c r="M95" i="1"/>
  <c r="N95" i="1"/>
  <c r="L95" i="1"/>
  <c r="S95" i="1"/>
  <c r="K95" i="1"/>
  <c r="T51" i="1"/>
  <c r="G51" i="1" s="1"/>
  <c r="T94" i="1"/>
  <c r="G94" i="1" s="1"/>
  <c r="G45" i="1"/>
  <c r="T63" i="1"/>
  <c r="G63" i="1" s="1"/>
  <c r="I81" i="1"/>
  <c r="T81" i="1" s="1"/>
  <c r="G81" i="1" s="1"/>
  <c r="T46" i="1"/>
  <c r="G46" i="1" s="1"/>
  <c r="W96" i="2" l="1"/>
  <c r="C97" i="2"/>
  <c r="W97" i="2" s="1"/>
  <c r="B97" i="2"/>
  <c r="V97" i="2" s="1"/>
  <c r="V96" i="2"/>
  <c r="K97" i="1"/>
  <c r="S97" i="1"/>
  <c r="J97" i="1"/>
  <c r="R97" i="1"/>
  <c r="Q97" i="1"/>
  <c r="I95" i="1"/>
  <c r="I97" i="1" s="1"/>
  <c r="N97" i="1"/>
  <c r="M97" i="1"/>
  <c r="P97" i="1"/>
  <c r="O97" i="1"/>
  <c r="G26" i="1"/>
  <c r="G13" i="1"/>
  <c r="L97" i="1"/>
  <c r="H95" i="1"/>
  <c r="H97" i="1" l="1"/>
  <c r="H99" i="1" s="1"/>
  <c r="T95" i="1"/>
  <c r="I99" i="1" l="1"/>
  <c r="J99" i="1" s="1"/>
  <c r="K99" i="1" s="1"/>
  <c r="L99" i="1" s="1"/>
  <c r="M99" i="1" s="1"/>
  <c r="N99" i="1" s="1"/>
  <c r="O99" i="1" s="1"/>
  <c r="P99" i="1" s="1"/>
  <c r="Q99" i="1" s="1"/>
  <c r="R99" i="1" s="1"/>
  <c r="S99" i="1" s="1"/>
  <c r="G95" i="1"/>
  <c r="T97" i="1"/>
</calcChain>
</file>

<file path=xl/sharedStrings.xml><?xml version="1.0" encoding="utf-8"?>
<sst xmlns="http://schemas.openxmlformats.org/spreadsheetml/2006/main" count="378" uniqueCount="264">
  <si>
    <r>
      <t>2026 Budget</t>
    </r>
    <r>
      <rPr>
        <sz val="14"/>
        <color rgb="FF000000"/>
        <rFont val="Segoe UI Semilight"/>
        <family val="2"/>
      </rPr>
      <t xml:space="preserve"> Version 1.0</t>
    </r>
  </si>
  <si>
    <t>Revenue</t>
  </si>
  <si>
    <t>4000 - Fundraising, Membership &amp; Program Revenue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</si>
  <si>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</si>
  <si>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</si>
  <si>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</si>
  <si>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</si>
  <si>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</si>
  <si>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</si>
  <si>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</si>
  <si>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</si>
  <si>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</si>
  <si>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</si>
  <si>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</si>
  <si>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</si>
  <si>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4000-10 - General Fundraising</t>
  </si>
  <si>
    <t>4000-20 - Other Membership</t>
  </si>
  <si>
    <t>4000-30 - Recurring Membership</t>
  </si>
  <si>
    <t>4000-40 - Ballot Access / Voter Registration</t>
  </si>
  <si>
    <t>4000-50 - Campaign/Candidate Support &amp; Training</t>
  </si>
  <si>
    <t>4000-60 - Affiliate Support</t>
  </si>
  <si>
    <t>4000-70 - Historical Preservation</t>
  </si>
  <si>
    <t>Total 4000 · Fundraising &amp; Membership</t>
  </si>
  <si>
    <t>4100 - Project Revenue - Restricted</t>
  </si>
  <si>
    <t>4100-20 - Legal Fund</t>
  </si>
  <si>
    <t>Total 4100 · Project Revenue - Restricted</t>
  </si>
  <si>
    <t>4200 - Convention &amp; Special Events Revenue</t>
  </si>
  <si>
    <t>4200-10 - Convention Revenue - Restricted</t>
  </si>
  <si>
    <t>4200-20 - Convention Fundraising - Unrestricted</t>
  </si>
  <si>
    <t>Total 4200 - Convention &amp; Special Events</t>
  </si>
  <si>
    <t>4500 - Bequests</t>
  </si>
  <si>
    <t xml:space="preserve"> </t>
  </si>
  <si>
    <t>4600 - Refunds of Contributions</t>
  </si>
  <si>
    <t>Total Revenue</t>
  </si>
  <si>
    <t>Expense</t>
  </si>
  <si>
    <t>7000 - Fundraising, Membership &amp; Program Expenses</t>
  </si>
  <si>
    <t>7000-10 - General Fundraising Expense</t>
  </si>
  <si>
    <t>Mailers, email capacity increase, advertising</t>
  </si>
  <si>
    <t>7000.70 - Store Expenses</t>
  </si>
  <si>
    <t>7000-30 - Recurring Membership Expense</t>
  </si>
  <si>
    <t>7000-50 - Ballot Access Fundraising Expense</t>
  </si>
  <si>
    <t>This would be a mailer for ballot access, not the actual petitioning which is captured separately below in 7000-86</t>
  </si>
  <si>
    <t>7000-60 - Credit Card Fees</t>
  </si>
  <si>
    <t>7000-80 - Core Services</t>
  </si>
  <si>
    <t>7000-81 - Outreach &amp; Activism General Expense</t>
  </si>
  <si>
    <t>X subscription, costs for communications, attending festivals/non-LP convention (doesn't account for FreedomFest package)</t>
  </si>
  <si>
    <t>7000-83 - Membership Communications</t>
  </si>
  <si>
    <t>7000-85 - Campaign/Candidate Support &amp; Training</t>
  </si>
  <si>
    <t>VoterGravity, plus Zoho tool-related expenses for campaign support</t>
  </si>
  <si>
    <t>7000-86 - Ballot Access Petitioning Expense</t>
  </si>
  <si>
    <t>7000-87 - Ballot Travel/Other</t>
  </si>
  <si>
    <t>-</t>
  </si>
  <si>
    <t>7000-88 - Ballot Access Legal Expense</t>
  </si>
  <si>
    <t>7000-89 - Ballot Access Lobbying Expense</t>
  </si>
  <si>
    <t>7000-90 - Historical Preservation</t>
  </si>
  <si>
    <t>Storage unit area of opportunity; also includes LPedia hosting</t>
  </si>
  <si>
    <t>Total 7000-80 - Core Services</t>
  </si>
  <si>
    <t>Total 7000 - Fundraising, Membership &amp; Program Expenses</t>
  </si>
  <si>
    <t>7200 - Conventions &amp; Special Events Expense</t>
  </si>
  <si>
    <t>7200-10 - Convention Expense - General</t>
  </si>
  <si>
    <t>7200-15 - Convention Expense - Travel &amp; Meals</t>
  </si>
  <si>
    <t>7200-20 - Convention Fundraising Expense</t>
  </si>
  <si>
    <t>Total 7200 - Conventions and Special Events Expense</t>
  </si>
  <si>
    <t>8000 - Salary &amp; Related Expense</t>
  </si>
  <si>
    <t>8005 - Salary Bonus Sick &amp; Vac (Admin)</t>
  </si>
  <si>
    <t>8010 - Hourly wages (Admin Portion)</t>
  </si>
  <si>
    <t>8015 - Contractor Admin &amp; Internships</t>
  </si>
  <si>
    <t>8020 - Employer cont to P/R tax</t>
  </si>
  <si>
    <t>This was severely under-budgeted in 2025</t>
  </si>
  <si>
    <t>8030 - Employer cont to 401K &amp; Adm</t>
  </si>
  <si>
    <t>8040 - Fed &amp; State Unemployment</t>
  </si>
  <si>
    <t>This is being captured in 8170, so zeroing out for 2026</t>
  </si>
  <si>
    <t>8060 - Health Insurance</t>
  </si>
  <si>
    <t>8070 - Other Benefits, Goodwill, &amp; Training</t>
  </si>
  <si>
    <t>8080 - Payroll Service Fees</t>
  </si>
  <si>
    <t>Total 8000 - Salary &amp; Related Expense</t>
  </si>
  <si>
    <t>8100 - Admin &amp; Overhead Expense</t>
  </si>
  <si>
    <t>8110 - Office Supplies &amp; Capital Equipment</t>
  </si>
  <si>
    <t>Underbudgeted; Hannah's incidentals</t>
  </si>
  <si>
    <t>8120 - Telephone &amp; Data Services</t>
  </si>
  <si>
    <t>8125 - Equipment Leases &amp; Maintenance</t>
  </si>
  <si>
    <t>8130 - Postage &amp; Shipping</t>
  </si>
  <si>
    <t>8140 - Travel, Meetings &amp; Meals</t>
  </si>
  <si>
    <t>$10k per in person meeting (excl. convention)</t>
  </si>
  <si>
    <t>8160 - Insurance Expense</t>
  </si>
  <si>
    <t>Hannah to discuss with Joseph and broker</t>
  </si>
  <si>
    <t>8180 - Printing &amp; Copying</t>
  </si>
  <si>
    <t>8190 - Software, Hardware, &amp; Other IT</t>
  </si>
  <si>
    <t>8195 - Other Expense &amp; Bank Fees</t>
  </si>
  <si>
    <t>8198 - Melio</t>
  </si>
  <si>
    <t>Total 8100 - Admin &amp; Overhead Expenses</t>
  </si>
  <si>
    <t>8200 - Professional Services</t>
  </si>
  <si>
    <t>8210 - Legal</t>
  </si>
  <si>
    <t>8210-10 - Legal - General</t>
  </si>
  <si>
    <t>8210-20 - Legal - Proactive</t>
  </si>
  <si>
    <t>ExComm 10/12: New Mexico Trademark</t>
  </si>
  <si>
    <t>Total 8210 - Legal</t>
  </si>
  <si>
    <t>8220 - Accounting</t>
  </si>
  <si>
    <t>8230 - FEC Filing &amp; Consulting</t>
  </si>
  <si>
    <t>8240 - Computer Services</t>
  </si>
  <si>
    <t>8250 - Other Professional Services</t>
  </si>
  <si>
    <t>8260  - Audit Services</t>
  </si>
  <si>
    <t>new GL code for 2026</t>
  </si>
  <si>
    <t>Total 8200 - Professional Services</t>
  </si>
  <si>
    <t>Total Expense</t>
  </si>
  <si>
    <t>Cash Flow</t>
  </si>
  <si>
    <t>Cash Reserve</t>
  </si>
  <si>
    <t>Libertarian National Committee Inc</t>
  </si>
  <si>
    <t xml:space="preserve">Budget vs. Actuals: Budget_FY25_P&amp;L - FY25 P&amp;L </t>
  </si>
  <si>
    <t>January - October, 2025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</si>
  <si>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</si>
  <si>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</si>
  <si>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</si>
  <si>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</si>
  <si>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</si>
  <si>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</si>
  <si>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</si>
  <si>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</si>
  <si>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</si>
  <si>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</si>
  <si>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Total</t>
  </si>
  <si>
    <t>Actual</t>
  </si>
  <si>
    <t>Budget</t>
  </si>
  <si>
    <t>Income</t>
  </si>
  <si>
    <t>Notes</t>
  </si>
  <si>
    <t xml:space="preserve">   4-4000 Fundraising Membership Prog Rev</t>
  </si>
  <si>
    <t>Break out One-Time versus Recurring donations (4000-30 only subcategories)</t>
  </si>
  <si>
    <t>Historic, not necessarily current</t>
  </si>
  <si>
    <t xml:space="preserve">      4000-10 General Fundraising</t>
  </si>
  <si>
    <t>No need to further break out Monthly vs. Annual</t>
  </si>
  <si>
    <t>Hannah and Joseph reworking GL codes</t>
  </si>
  <si>
    <t xml:space="preserve">      4000-20 Other Membership</t>
  </si>
  <si>
    <t xml:space="preserve">      4000-30 Recurring Membership</t>
  </si>
  <si>
    <t xml:space="preserve">      4000-40 Ballot Access - Voter Reg Rev</t>
  </si>
  <si>
    <t xml:space="preserve">      4000-50 Campaign Candidate Support Rev</t>
  </si>
  <si>
    <t xml:space="preserve">      4000-60 Affiliate Support Revenue</t>
  </si>
  <si>
    <t xml:space="preserve">      4000-70 Historic Preservation Revenue</t>
  </si>
  <si>
    <t xml:space="preserve">   Total 4-4000 Fundraising Membership Prog Rev</t>
  </si>
  <si>
    <t xml:space="preserve">   4-4100 Restricted Project Revenue</t>
  </si>
  <si>
    <t xml:space="preserve">      4100.10 Building Fund Revenue</t>
  </si>
  <si>
    <t>Can't be used for anything other than building -- ask Bill whether we'll ever be able to use (either way not in 2026 income budget)</t>
  </si>
  <si>
    <t xml:space="preserve">      4100.20 Legal Fund Revenue</t>
  </si>
  <si>
    <t xml:space="preserve">   Total 4-4100 Restricted Project Revenue</t>
  </si>
  <si>
    <t xml:space="preserve">   4700 Other Receipts</t>
  </si>
  <si>
    <t xml:space="preserve">      4710 Interest &amp; Dividends</t>
  </si>
  <si>
    <t>Primarily from money market acct</t>
  </si>
  <si>
    <t xml:space="preserve">      4720 Miscellaneous Receipts</t>
  </si>
  <si>
    <t>Rent from building (new buyers) - not in 2026 budget, but keep the bucket in case it's needed</t>
  </si>
  <si>
    <t xml:space="preserve">   Total 4700 Other Receipts</t>
  </si>
  <si>
    <t xml:space="preserve">   4800 Misc Income</t>
  </si>
  <si>
    <t xml:space="preserve">      4820 JFA Commissions</t>
  </si>
  <si>
    <t>JFA not applicable in 2026</t>
  </si>
  <si>
    <t xml:space="preserve">   Total 4800 Misc Income</t>
  </si>
  <si>
    <t xml:space="preserve">   Credit Card Rewards</t>
  </si>
  <si>
    <t>Total Income</t>
  </si>
  <si>
    <t>Gross Profit</t>
  </si>
  <si>
    <t>Expenses</t>
  </si>
  <si>
    <t xml:space="preserve">   7-7000 Fundraising Membership Prog Exp</t>
  </si>
  <si>
    <t xml:space="preserve">      7000-10 General Fundraising Expenses</t>
  </si>
  <si>
    <t xml:space="preserve">      7000-30 Recurring Membership Expenses</t>
  </si>
  <si>
    <t xml:space="preserve">      7000-60 Credit Card Fees Expense</t>
  </si>
  <si>
    <t xml:space="preserve">      7000-70 Store Expenses</t>
  </si>
  <si>
    <t xml:space="preserve">      7000-80 Core Services Expense</t>
  </si>
  <si>
    <t xml:space="preserve">         7000-81 Outreach &amp;  Activism Expense</t>
  </si>
  <si>
    <t xml:space="preserve">         7000-84 Ballot  Access Petitioning Exp</t>
  </si>
  <si>
    <t>Transactions Moved to 7000-86</t>
  </si>
  <si>
    <t xml:space="preserve">         7000-85 Campaign/Candidate Support &amp; Training</t>
  </si>
  <si>
    <t>VoterGravity lives here</t>
  </si>
  <si>
    <t xml:space="preserve">         7000-86 Ballot  Access Petitioning Expense</t>
  </si>
  <si>
    <t xml:space="preserve">         7000-90 Historic Preservation Expense</t>
  </si>
  <si>
    <t>$400/mo storage unit in Colorado and Lpedia hosting fees - can these be digitized?</t>
  </si>
  <si>
    <t xml:space="preserve">      Total 7000-80 Core Services Expense</t>
  </si>
  <si>
    <t xml:space="preserve">   Total 7-7000 Fundraising Membership Prog Exp</t>
  </si>
  <si>
    <t xml:space="preserve">   7-7200 Convention &amp; Special Event Expe</t>
  </si>
  <si>
    <t xml:space="preserve">      7200-10 Convention General Expenses</t>
  </si>
  <si>
    <t>All costs go here other than marketing/promotion costs</t>
  </si>
  <si>
    <t xml:space="preserve">      7200-20 Convention Fundraising Expense</t>
  </si>
  <si>
    <t>Anything spent to promote the convention</t>
  </si>
  <si>
    <t xml:space="preserve">      7200-40 Special Event Expense</t>
  </si>
  <si>
    <t>Return of funds from speaker who couldn't make it; Hannah to talk to Joseph</t>
  </si>
  <si>
    <t xml:space="preserve">   Total 7-7200 Convention &amp; Special Event Expe</t>
  </si>
  <si>
    <t xml:space="preserve">   7200 Events and Conventions Exp</t>
  </si>
  <si>
    <t>Do not include in budget</t>
  </si>
  <si>
    <t xml:space="preserve">      7200-15 (DO NOT USE) Convention Expense - Travel/F&amp;B</t>
  </si>
  <si>
    <t xml:space="preserve">   Total 7200 Events and Conventions Exp</t>
  </si>
  <si>
    <t xml:space="preserve">   8000 Salary &amp; Related Expense</t>
  </si>
  <si>
    <t xml:space="preserve">      8005 Salary Hourly Bonus Sick &amp; Vac</t>
  </si>
  <si>
    <t xml:space="preserve">      8015 Contractor Admin &amp; Internships</t>
  </si>
  <si>
    <t xml:space="preserve">      8020 Employer Cont to P/R Tax</t>
  </si>
  <si>
    <t xml:space="preserve">      8030 Employer Cont to 401K &amp; Adm</t>
  </si>
  <si>
    <t xml:space="preserve">      8040 Fed &amp; State Unemployment</t>
  </si>
  <si>
    <t xml:space="preserve">      8060 Health Insurance</t>
  </si>
  <si>
    <t xml:space="preserve">      8065 Workers Comp Insurance</t>
  </si>
  <si>
    <t>Hannah to discuss with Joseph; where is the actual?</t>
  </si>
  <si>
    <t xml:space="preserve">      8070 Other Bens, Gdwill &amp; Training</t>
  </si>
  <si>
    <t xml:space="preserve">      8080 Payroll Service Fees</t>
  </si>
  <si>
    <t xml:space="preserve">      8090 Employee Search</t>
  </si>
  <si>
    <t xml:space="preserve">   Total 8000 Salary &amp; Related Expense</t>
  </si>
  <si>
    <t xml:space="preserve">   8100 Admin &amp; Overhead Expense</t>
  </si>
  <si>
    <t xml:space="preserve">      8110 Ofc Supplies &amp; Non Cap Equipt</t>
  </si>
  <si>
    <t xml:space="preserve">      8120 Telephone &amp; Data Services</t>
  </si>
  <si>
    <t xml:space="preserve">      8130 Postage &amp; Shipping</t>
  </si>
  <si>
    <t>Incoming mail (digitized mailroom in Houston)</t>
  </si>
  <si>
    <t xml:space="preserve">      8140 Travel, Meeting, &amp; Meals Exp</t>
  </si>
  <si>
    <t xml:space="preserve">      8160 Insurance - D/O Cyber - Other</t>
  </si>
  <si>
    <t>Hannah to ask Joseph about this</t>
  </si>
  <si>
    <t xml:space="preserve">      8170 Occupancy Expenses</t>
  </si>
  <si>
    <t xml:space="preserve">         8170-20 Utilities Expense</t>
  </si>
  <si>
    <t>N/A for 2026 budget</t>
  </si>
  <si>
    <t xml:space="preserve">         8170-30 Property Taxes, Fees &amp; Permits</t>
  </si>
  <si>
    <t xml:space="preserve">         8170-40 Maintenance, Cleaning &amp; Repairs</t>
  </si>
  <si>
    <t xml:space="preserve">         8170-50 Property / GL Insurance</t>
  </si>
  <si>
    <t xml:space="preserve">         8170-60 Assc Fees, Rent &amp; Storage</t>
  </si>
  <si>
    <t xml:space="preserve">         8170-70 Office Move Related Expenses</t>
  </si>
  <si>
    <t xml:space="preserve">      Total 8170 Occupancy Expenses</t>
  </si>
  <si>
    <t xml:space="preserve">      8190 Software, Hardware &amp; Other IT</t>
  </si>
  <si>
    <t>CRM, web hosting, etc</t>
  </si>
  <si>
    <t xml:space="preserve">      8195 Other Expenses &amp; Bank Fees</t>
  </si>
  <si>
    <t>Credit card interest; all paid down now so should minimal or none on 2026</t>
  </si>
  <si>
    <t xml:space="preserve">      8198 Melio services fee</t>
  </si>
  <si>
    <t>Payment processor ($23/month - plus costs if we exceed thresholds)</t>
  </si>
  <si>
    <t xml:space="preserve">   Total 8100 Admin &amp; Overhead Expense</t>
  </si>
  <si>
    <t xml:space="preserve">   8200 Professional Services</t>
  </si>
  <si>
    <t xml:space="preserve">      8210 Legal</t>
  </si>
  <si>
    <t xml:space="preserve">         8210-10 Legal - General</t>
  </si>
  <si>
    <t>Oliver (not under Contractor in payroll section above)</t>
  </si>
  <si>
    <t xml:space="preserve">      Total 8210 Legal</t>
  </si>
  <si>
    <t xml:space="preserve">      8220 Accounting</t>
  </si>
  <si>
    <t xml:space="preserve">      8230 FEC Filing &amp; Consulting</t>
  </si>
  <si>
    <t xml:space="preserve">      8240 Computer Services</t>
  </si>
  <si>
    <t>Cornerstone (Zoho consultant)</t>
  </si>
  <si>
    <t xml:space="preserve">      8250 Other Professional Services</t>
  </si>
  <si>
    <t>Debbie - needed in 2026?</t>
  </si>
  <si>
    <t xml:space="preserve">      8270 Payment Processing Fee</t>
  </si>
  <si>
    <t>Move to Melio line item (not needed in 2026)</t>
  </si>
  <si>
    <t xml:space="preserve">   Total 8200 Professional Services</t>
  </si>
  <si>
    <t xml:space="preserve">   8300 Depreciation Expense</t>
  </si>
  <si>
    <t>Is this still needed with all bldg assets now gone?</t>
  </si>
  <si>
    <t xml:space="preserve">   8500 Loss (Gain) on Disposal</t>
  </si>
  <si>
    <t>Loss on bldg; not needed in 2026</t>
  </si>
  <si>
    <t>Total Expenses</t>
  </si>
  <si>
    <t>Net Operating Income</t>
  </si>
  <si>
    <t>Net Income</t>
  </si>
  <si>
    <t>Tuesday, Nov 04, 2025 11:32:34 AM GMT-8 - Accrual Basis</t>
  </si>
  <si>
    <r>
      <t>2025 Budget</t>
    </r>
    <r>
      <rPr>
        <sz val="14"/>
        <color rgb="FF000000"/>
        <rFont val="Segoe UI Semilight"/>
        <family val="2"/>
      </rPr>
      <t xml:space="preserve"> Version 1.0</t>
    </r>
  </si>
  <si>
    <t>4100-10 - Building Fund</t>
  </si>
  <si>
    <t>4810 - Nolan Building Rental</t>
  </si>
  <si>
    <t>4820 - Joint Fundraising Agreement</t>
  </si>
  <si>
    <t>7000-40 - Building Fundraising Expense</t>
  </si>
  <si>
    <t>Total 7200 - Conventions &amp; Special Events Expense</t>
  </si>
  <si>
    <t>8065 - Workers Comp Insurance</t>
  </si>
  <si>
    <t>8160 - Insurance D/O Cyber - Other</t>
  </si>
  <si>
    <t>8170 - Occupancy Expense</t>
  </si>
  <si>
    <t>8170-20 Utilities</t>
  </si>
  <si>
    <t>8170-30 Property Taxes, Fees &amp; Permits</t>
  </si>
  <si>
    <t>8170-40 Maintenance, Cleaning &amp; Repairs</t>
  </si>
  <si>
    <t>8170-50 Property / GL Insurance</t>
  </si>
  <si>
    <t>8170-60 Assoc Fee, Rent, Storage</t>
  </si>
  <si>
    <t>Total 8170 - Total Occupancy Expenses</t>
  </si>
  <si>
    <t>8300 - Depreciation Expense</t>
  </si>
  <si>
    <t>Total 8300 - Depreciation Expense</t>
  </si>
  <si>
    <t>Exp Start:  $75000</t>
  </si>
  <si>
    <t>4710 Interest &amp; Dividends</t>
  </si>
  <si>
    <t>4700 - Other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</si>
</sst>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#,##0.00\ _€"/>
    <numFmt numFmtId="166" formatCode="&quot;$&quot;* #,##0.00\ _€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Segoe UI"/>
      <family val="2"/>
    </font>
    <font>
      <sz val="14"/>
      <color rgb="FF000000"/>
      <name val="Segoe UI Semibold"/>
      <family val="2"/>
    </font>
    <font>
      <sz val="14"/>
      <color rgb="FF000000"/>
      <name val="Segoe UI Semilight"/>
      <family val="2"/>
    </font>
    <font>
      <b/>
      <sz val="10"/>
      <color rgb="FF000000"/>
      <name val="Segoe UI"/>
      <family val="2"/>
    </font>
    <font>
      <sz val="10"/>
      <name val="Segoe UI"/>
      <family val="2"/>
    </font>
    <font>
      <sz val="11"/>
      <color rgb="FFFF0000"/>
      <name val="Calibri"/>
      <family val="2"/>
      <scheme val="minor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rgb="FF0070C0"/>
      <name val="Arial"/>
      <family val="2"/>
    </font>
    <font>
      <sz val="8"/>
      <color rgb="FF0070C0"/>
      <name val="Arial"/>
      <family val="2"/>
    </font>
    <font>
      <b/>
      <sz val="11"/>
      <color indexed="8"/>
      <name val="Calibri"/>
      <family val="2"/>
      <scheme val="minor"/>
    </font>
    <font>
      <b/>
      <sz val="8"/>
      <color rgb="FF0070C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trike/>
      <sz val="8"/>
      <color rgb="FF0070C0"/>
      <name val="Arial"/>
      <family val="2"/>
    </font>
    <font>
      <strike/>
      <sz val="8"/>
      <color rgb="FF0070C0"/>
      <name val="Arial"/>
      <family val="2"/>
    </font>
    <font>
      <b/>
      <strike/>
      <sz val="8"/>
      <color rgb="FFFF0000"/>
      <name val="Arial"/>
      <family val="2"/>
    </font>
    <font>
      <strike/>
      <sz val="8"/>
      <color rgb="FFFF0000"/>
      <name val="Arial"/>
      <family val="2"/>
    </font>
    <font>
      <sz val="10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10"/>
      <color rgb="FF00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0" fontId="0" fillId="0" borderId="0" xfId="0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left" indent="1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1" fillId="0" borderId="2" xfId="0" applyFont="1" applyBorder="1" applyAlignment="1">
      <alignment horizontal="center" wrapText="1"/>
    </xf>
    <xf numFmtId="0" fontId="11" fillId="3" borderId="2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165" fontId="13" fillId="0" borderId="0" xfId="0" applyNumberFormat="1" applyFont="1" applyAlignment="1">
      <alignment wrapText="1"/>
    </xf>
    <xf numFmtId="165" fontId="13" fillId="3" borderId="0" xfId="0" applyNumberFormat="1" applyFont="1" applyFill="1" applyAlignment="1">
      <alignment wrapText="1"/>
    </xf>
    <xf numFmtId="165" fontId="13" fillId="4" borderId="0" xfId="0" applyNumberFormat="1" applyFont="1" applyFill="1" applyAlignment="1">
      <alignment wrapText="1"/>
    </xf>
    <xf numFmtId="0" fontId="14" fillId="0" borderId="0" xfId="0" applyFont="1"/>
    <xf numFmtId="0" fontId="15" fillId="0" borderId="0" xfId="0" applyFont="1" applyAlignment="1">
      <alignment horizontal="left" wrapText="1"/>
    </xf>
    <xf numFmtId="165" fontId="13" fillId="3" borderId="0" xfId="0" applyNumberFormat="1" applyFont="1" applyFill="1" applyAlignment="1">
      <alignment horizontal="right" wrapText="1"/>
    </xf>
    <xf numFmtId="165" fontId="13" fillId="4" borderId="0" xfId="0" applyNumberFormat="1" applyFont="1" applyFill="1" applyAlignment="1">
      <alignment horizontal="right" wrapText="1"/>
    </xf>
    <xf numFmtId="165" fontId="13" fillId="0" borderId="0" xfId="0" applyNumberFormat="1" applyFont="1" applyAlignment="1">
      <alignment horizontal="right" wrapText="1"/>
    </xf>
    <xf numFmtId="166" fontId="15" fillId="0" borderId="3" xfId="0" applyNumberFormat="1" applyFont="1" applyBorder="1" applyAlignment="1">
      <alignment horizontal="right" wrapText="1"/>
    </xf>
    <xf numFmtId="166" fontId="15" fillId="3" borderId="3" xfId="0" applyNumberFormat="1" applyFont="1" applyFill="1" applyBorder="1" applyAlignment="1">
      <alignment horizontal="right" wrapText="1"/>
    </xf>
    <xf numFmtId="166" fontId="15" fillId="4" borderId="3" xfId="0" applyNumberFormat="1" applyFont="1" applyFill="1" applyBorder="1" applyAlignment="1">
      <alignment horizontal="right" wrapText="1"/>
    </xf>
    <xf numFmtId="0" fontId="16" fillId="0" borderId="0" xfId="0" applyFont="1" applyAlignment="1">
      <alignment horizontal="left" wrapText="1"/>
    </xf>
    <xf numFmtId="165" fontId="17" fillId="0" borderId="0" xfId="0" applyNumberFormat="1" applyFont="1" applyAlignment="1">
      <alignment wrapText="1"/>
    </xf>
    <xf numFmtId="165" fontId="17" fillId="3" borderId="0" xfId="0" applyNumberFormat="1" applyFont="1" applyFill="1" applyAlignment="1">
      <alignment wrapText="1"/>
    </xf>
    <xf numFmtId="165" fontId="17" fillId="4" borderId="0" xfId="0" applyNumberFormat="1" applyFont="1" applyFill="1" applyAlignment="1">
      <alignment wrapText="1"/>
    </xf>
    <xf numFmtId="0" fontId="18" fillId="0" borderId="0" xfId="0" applyFont="1" applyAlignment="1">
      <alignment horizontal="left" wrapText="1"/>
    </xf>
    <xf numFmtId="165" fontId="17" fillId="3" borderId="0" xfId="0" applyNumberFormat="1" applyFont="1" applyFill="1" applyAlignment="1">
      <alignment horizontal="right" wrapText="1"/>
    </xf>
    <xf numFmtId="165" fontId="17" fillId="4" borderId="0" xfId="0" applyNumberFormat="1" applyFont="1" applyFill="1" applyAlignment="1">
      <alignment horizontal="right" wrapText="1"/>
    </xf>
    <xf numFmtId="165" fontId="17" fillId="0" borderId="0" xfId="0" applyNumberFormat="1" applyFont="1" applyAlignment="1">
      <alignment horizontal="right" wrapText="1"/>
    </xf>
    <xf numFmtId="166" fontId="18" fillId="0" borderId="3" xfId="0" applyNumberFormat="1" applyFont="1" applyBorder="1" applyAlignment="1">
      <alignment horizontal="right" wrapText="1"/>
    </xf>
    <xf numFmtId="166" fontId="18" fillId="3" borderId="3" xfId="0" applyNumberFormat="1" applyFont="1" applyFill="1" applyBorder="1" applyAlignment="1">
      <alignment horizontal="right" wrapText="1"/>
    </xf>
    <xf numFmtId="166" fontId="18" fillId="4" borderId="3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left" wrapText="1"/>
    </xf>
    <xf numFmtId="166" fontId="19" fillId="0" borderId="3" xfId="0" applyNumberFormat="1" applyFont="1" applyBorder="1" applyAlignment="1">
      <alignment horizontal="right" wrapText="1"/>
    </xf>
    <xf numFmtId="166" fontId="19" fillId="3" borderId="3" xfId="0" applyNumberFormat="1" applyFont="1" applyFill="1" applyBorder="1" applyAlignment="1">
      <alignment horizontal="right" wrapText="1"/>
    </xf>
    <xf numFmtId="166" fontId="19" fillId="4" borderId="3" xfId="0" applyNumberFormat="1" applyFont="1" applyFill="1" applyBorder="1" applyAlignment="1">
      <alignment horizontal="right" wrapText="1"/>
    </xf>
    <xf numFmtId="0" fontId="20" fillId="0" borderId="0" xfId="0" applyFont="1" applyAlignment="1">
      <alignment horizontal="left" wrapText="1"/>
    </xf>
    <xf numFmtId="165" fontId="21" fillId="0" borderId="0" xfId="0" applyNumberFormat="1" applyFont="1" applyAlignment="1">
      <alignment wrapText="1"/>
    </xf>
    <xf numFmtId="165" fontId="21" fillId="3" borderId="0" xfId="0" applyNumberFormat="1" applyFont="1" applyFill="1" applyAlignment="1">
      <alignment wrapText="1"/>
    </xf>
    <xf numFmtId="165" fontId="21" fillId="4" borderId="0" xfId="0" applyNumberFormat="1" applyFont="1" applyFill="1" applyAlignment="1">
      <alignment wrapText="1"/>
    </xf>
    <xf numFmtId="0" fontId="0" fillId="3" borderId="0" xfId="0" applyFill="1"/>
    <xf numFmtId="0" fontId="0" fillId="4" borderId="0" xfId="0" applyFill="1"/>
    <xf numFmtId="0" fontId="22" fillId="0" borderId="0" xfId="0" applyFont="1" applyAlignment="1">
      <alignment horizontal="left" wrapText="1"/>
    </xf>
    <xf numFmtId="165" fontId="23" fillId="0" borderId="0" xfId="0" applyNumberFormat="1" applyFont="1" applyAlignment="1">
      <alignment wrapText="1"/>
    </xf>
    <xf numFmtId="165" fontId="23" fillId="0" borderId="0" xfId="0" applyNumberFormat="1" applyFont="1" applyAlignment="1">
      <alignment horizontal="right" wrapText="1"/>
    </xf>
    <xf numFmtId="165" fontId="23" fillId="3" borderId="0" xfId="0" applyNumberFormat="1" applyFont="1" applyFill="1" applyAlignment="1">
      <alignment horizontal="right" wrapText="1"/>
    </xf>
    <xf numFmtId="165" fontId="23" fillId="4" borderId="0" xfId="0" applyNumberFormat="1" applyFont="1" applyFill="1" applyAlignment="1">
      <alignment horizontal="right" wrapText="1"/>
    </xf>
    <xf numFmtId="0" fontId="24" fillId="0" borderId="0" xfId="0" applyFont="1" applyAlignment="1">
      <alignment horizontal="left" wrapText="1"/>
    </xf>
    <xf numFmtId="165" fontId="25" fillId="0" borderId="0" xfId="0" applyNumberFormat="1" applyFont="1" applyAlignment="1">
      <alignment wrapText="1"/>
    </xf>
    <xf numFmtId="165" fontId="25" fillId="3" borderId="0" xfId="0" applyNumberFormat="1" applyFont="1" applyFill="1" applyAlignment="1">
      <alignment horizontal="right" wrapText="1"/>
    </xf>
    <xf numFmtId="165" fontId="25" fillId="4" borderId="0" xfId="0" applyNumberFormat="1" applyFont="1" applyFill="1" applyAlignment="1">
      <alignment horizontal="right" wrapText="1"/>
    </xf>
    <xf numFmtId="165" fontId="25" fillId="0" borderId="0" xfId="0" applyNumberFormat="1" applyFont="1" applyAlignment="1">
      <alignment horizontal="right" wrapText="1"/>
    </xf>
    <xf numFmtId="166" fontId="24" fillId="0" borderId="3" xfId="0" applyNumberFormat="1" applyFont="1" applyBorder="1" applyAlignment="1">
      <alignment horizontal="right" wrapText="1"/>
    </xf>
    <xf numFmtId="166" fontId="24" fillId="3" borderId="3" xfId="0" applyNumberFormat="1" applyFont="1" applyFill="1" applyBorder="1" applyAlignment="1">
      <alignment horizontal="right" wrapText="1"/>
    </xf>
    <xf numFmtId="166" fontId="24" fillId="4" borderId="3" xfId="0" applyNumberFormat="1" applyFont="1" applyFill="1" applyBorder="1" applyAlignment="1">
      <alignment horizontal="right" wrapText="1"/>
    </xf>
    <xf numFmtId="0" fontId="6" fillId="5" borderId="0" xfId="0" applyFont="1" applyFill="1"/>
    <xf numFmtId="0" fontId="3" fillId="5" borderId="0" xfId="0" applyFont="1" applyFill="1"/>
    <xf numFmtId="0" fontId="3" fillId="4" borderId="0" xfId="0" applyFont="1" applyFill="1"/>
    <xf numFmtId="0" fontId="6" fillId="4" borderId="0" xfId="0" applyFont="1" applyFill="1"/>
    <xf numFmtId="0" fontId="26" fillId="0" borderId="0" xfId="0" applyFont="1"/>
    <xf numFmtId="0" fontId="26" fillId="4" borderId="0" xfId="0" applyFont="1" applyFill="1"/>
    <xf numFmtId="164" fontId="27" fillId="2" borderId="1" xfId="1" applyNumberFormat="1" applyFont="1" applyFill="1" applyBorder="1" applyAlignment="1">
      <alignment horizontal="center"/>
    </xf>
    <xf numFmtId="0" fontId="8" fillId="0" borderId="0" xfId="0" applyFont="1"/>
    <xf numFmtId="0" fontId="0" fillId="6" borderId="0" xfId="0" applyFill="1"/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right" indent="1"/>
    </xf>
    <xf numFmtId="164" fontId="28" fillId="2" borderId="1" xfId="1" applyNumberFormat="1" applyFont="1" applyFill="1" applyBorder="1" applyAlignment="1">
      <alignment horizontal="center"/>
    </xf>
    <xf numFmtId="0" fontId="29" fillId="0" borderId="0" xfId="0" applyFont="1"/>
    <xf numFmtId="164" fontId="2" fillId="2" borderId="0" xfId="1" applyNumberFormat="1" applyFont="1" applyFill="1" applyBorder="1" applyAlignment="1">
      <alignment horizontal="center"/>
    </xf>
    <xf numFmtId="3" fontId="30" fillId="0" borderId="0" xfId="0" applyNumberFormat="1" applyFont="1" applyAlignment="1">
      <alignment horizontal="right" indent="1"/>
    </xf>
    <xf numFmtId="0" fontId="2" fillId="0" borderId="0" xfId="0" applyFont="1"/>
    <xf numFmtId="164" fontId="0" fillId="2" borderId="1" xfId="1" applyNumberFormat="1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right"/>
    </xf>
    <xf numFmtId="164" fontId="29" fillId="2" borderId="1" xfId="1" applyNumberFormat="1" applyFont="1" applyFill="1" applyBorder="1" applyAlignment="1">
      <alignment horizontal="center"/>
    </xf>
    <xf numFmtId="0" fontId="26" fillId="5" borderId="0" xfId="0" applyFont="1" applyFill="1"/>
    <xf numFmtId="3" fontId="26" fillId="0" borderId="0" xfId="0" applyNumberFormat="1" applyFont="1" applyAlignment="1">
      <alignment horizontal="right"/>
    </xf>
    <xf numFmtId="0" fontId="31" fillId="0" borderId="0" xfId="0" applyFont="1"/>
    <xf numFmtId="0" fontId="7" fillId="5" borderId="0" xfId="0" applyFont="1" applyFill="1"/>
    <xf numFmtId="44" fontId="29" fillId="2" borderId="1" xfId="1" applyFont="1" applyFill="1" applyBorder="1" applyAlignment="1">
      <alignment horizontal="center"/>
    </xf>
    <xf numFmtId="0" fontId="3" fillId="0" borderId="0" xfId="0" applyFont="1"/>
    <xf numFmtId="0" fontId="3" fillId="4" borderId="0" xfId="0" applyFont="1" applyFill="1"/>
    <xf numFmtId="0" fontId="6" fillId="4" borderId="0" xfId="0" applyFont="1" applyFill="1"/>
    <xf numFmtId="0" fontId="26" fillId="4" borderId="0" xfId="0" applyFont="1" applyFill="1"/>
    <xf numFmtId="0" fontId="3" fillId="5" borderId="0" xfId="0" applyFont="1" applyFill="1"/>
    <xf numFmtId="0" fontId="6" fillId="5" borderId="0" xfId="0" applyFont="1" applyFill="1"/>
    <xf numFmtId="0" fontId="26" fillId="5" borderId="0" xfId="0" applyFont="1" applyFill="1"/>
    <xf numFmtId="0" fontId="4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0" fillId="0" borderId="0" xfId="0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156210</xdr:colOff>
      <xdr:row>9</xdr:row>
      <xdr:rowOff>129540</xdr:rowOff>
    </xdr:from>
    <xdr:to>
      <xdr:col>37</xdr:col>
      <xdr:colOff>331470</xdr:colOff>
      <xdr:row>21</xdr:row>
      <xdr:rowOff>79821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0DE0CDE-5C0C-BF4E-3EC9-756D6E27C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59235" y="1834515"/>
          <a:ext cx="3223260" cy="2121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V108"/>
  <sheetViews>
    <sheetView tabSelected="1" topLeftCell="C69" workbookViewId="0">
      <selection activeCell="E87" sqref="E87:F87"/>
    </sheetView>
  </sheetViews>
  <sheetFormatPr defaultRowHeight="15" customHeight="1"/>
  <cols>
    <col min="3" max="3" width="53" bestFit="1" customWidth="1"/>
    <col min="4" max="4" width="45.5703125" bestFit="1" customWidth="1"/>
    <col min="6" max="6" width="40" customWidth="1"/>
    <col min="7" max="7" width="18.140625" hidden="1" customWidth="1"/>
    <col min="8" max="19" width="11.140625" style="8" hidden="1" customWidth="1"/>
    <col min="20" max="20" width="14.140625" style="8" bestFit="1" customWidth="1"/>
    <col min="21" max="21" width="12.140625" bestFit="1" customWidth="1"/>
  </cols>
  <sheetData>
    <row r="1" spans="1:21">
      <c r="A1" s="1"/>
      <c r="B1" s="1"/>
      <c r="C1" s="1"/>
      <c r="D1" s="1"/>
      <c r="E1" s="88"/>
      <c r="F1" s="88"/>
      <c r="G1" s="2"/>
    </row>
    <row r="2" spans="1:21" ht="20.25">
      <c r="A2" s="1"/>
      <c r="B2" s="95" t="s">
        <v>0</v>
      </c>
      <c r="C2" s="95"/>
      <c r="D2" s="95"/>
      <c r="E2" s="95"/>
      <c r="F2" s="95"/>
      <c r="G2" s="95"/>
    </row>
    <row r="3" spans="1:21">
      <c r="A3" s="1"/>
      <c r="B3" s="1"/>
      <c r="C3" s="1"/>
      <c r="D3" s="1"/>
      <c r="E3" s="88"/>
      <c r="F3" s="88"/>
      <c r="G3" s="3"/>
    </row>
    <row r="4" spans="1:21">
      <c r="A4" s="1"/>
      <c r="B4" s="1"/>
      <c r="C4" s="1"/>
      <c r="D4" s="1"/>
      <c r="E4" s="88"/>
      <c r="F4" s="88"/>
      <c r="G4" s="3"/>
    </row>
    <row r="5" spans="1:21">
      <c r="A5" s="1"/>
      <c r="B5" s="63" t="s">
        <v>1</v>
      </c>
      <c r="C5" s="64"/>
      <c r="D5" s="64"/>
      <c r="E5" s="92"/>
      <c r="F5" s="92"/>
      <c r="G5" s="2"/>
    </row>
    <row r="6" spans="1:21">
      <c r="A6" s="1"/>
      <c r="B6" s="64"/>
      <c r="C6" s="64" t="s">
        <v>2</v>
      </c>
      <c r="D6" s="64"/>
      <c r="E6" s="92"/>
      <c r="F6" s="92"/>
      <c r="G6" s="2"/>
      <c r="H6" s="8" t="s">
        <v>3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  <c r="P6" s="8" t="s">
        <v>11</v>
      </c>
      <c r="Q6" s="8" t="s">
        <v>12</v>
      </c>
      <c r="R6" s="8" t="s">
        <v>13</v>
      </c>
      <c r="S6" s="8" t="s">
        <v>14</v>
      </c>
      <c r="T6" s="72">
        <v>2026</v>
      </c>
      <c r="U6" s="72">
        <v>2025</v>
      </c>
    </row>
    <row r="7" spans="1:21">
      <c r="A7" s="1"/>
      <c r="B7" s="64"/>
      <c r="C7" s="64"/>
      <c r="D7" s="64" t="s">
        <v>15</v>
      </c>
      <c r="E7" s="92"/>
      <c r="F7" s="92"/>
      <c r="G7" s="4">
        <f>U7</f>
        <v>360000</v>
      </c>
      <c r="H7" s="9">
        <v>30000</v>
      </c>
      <c r="I7" s="9">
        <v>30000</v>
      </c>
      <c r="J7" s="9">
        <v>30000</v>
      </c>
      <c r="K7" s="9">
        <v>30000</v>
      </c>
      <c r="L7" s="9">
        <v>30000</v>
      </c>
      <c r="M7" s="9">
        <v>30000</v>
      </c>
      <c r="N7" s="9">
        <v>30000</v>
      </c>
      <c r="O7" s="9">
        <v>30000</v>
      </c>
      <c r="P7" s="9">
        <v>30000</v>
      </c>
      <c r="Q7" s="9">
        <v>30000</v>
      </c>
      <c r="R7" s="9">
        <v>30000</v>
      </c>
      <c r="S7" s="9">
        <v>30000</v>
      </c>
      <c r="T7" s="79">
        <v>165000</v>
      </c>
      <c r="U7" s="79">
        <f t="shared" ref="U7:U13" si="0">SUM(H7:S7)</f>
        <v>360000</v>
      </c>
    </row>
    <row r="8" spans="1:21">
      <c r="A8" s="1"/>
      <c r="B8" s="64"/>
      <c r="C8" s="64"/>
      <c r="D8" s="64" t="s">
        <v>16</v>
      </c>
      <c r="E8" s="92"/>
      <c r="F8" s="92"/>
      <c r="G8" s="4">
        <f t="shared" ref="G8:G26" si="1">U8</f>
        <v>180000</v>
      </c>
      <c r="H8" s="9">
        <v>15000</v>
      </c>
      <c r="I8" s="9">
        <v>15000</v>
      </c>
      <c r="J8" s="9">
        <v>15000</v>
      </c>
      <c r="K8" s="9">
        <v>15000</v>
      </c>
      <c r="L8" s="9">
        <v>15000</v>
      </c>
      <c r="M8" s="9">
        <v>15000</v>
      </c>
      <c r="N8" s="9">
        <v>15000</v>
      </c>
      <c r="O8" s="9">
        <v>15000</v>
      </c>
      <c r="P8" s="9">
        <v>15000</v>
      </c>
      <c r="Q8" s="9">
        <v>15000</v>
      </c>
      <c r="R8" s="9">
        <v>15000</v>
      </c>
      <c r="S8" s="9">
        <v>15000</v>
      </c>
      <c r="T8" s="79">
        <v>132000</v>
      </c>
      <c r="U8" s="79">
        <f t="shared" si="0"/>
        <v>180000</v>
      </c>
    </row>
    <row r="9" spans="1:21">
      <c r="A9" s="1"/>
      <c r="B9" s="64"/>
      <c r="C9" s="64"/>
      <c r="D9" s="64" t="s">
        <v>17</v>
      </c>
      <c r="E9" s="92"/>
      <c r="F9" s="92"/>
      <c r="G9" s="4">
        <f t="shared" si="1"/>
        <v>300000</v>
      </c>
      <c r="H9" s="9">
        <v>25000</v>
      </c>
      <c r="I9" s="9">
        <v>25000</v>
      </c>
      <c r="J9" s="9">
        <v>25000</v>
      </c>
      <c r="K9" s="9">
        <v>25000</v>
      </c>
      <c r="L9" s="9">
        <v>25000</v>
      </c>
      <c r="M9" s="9">
        <v>25000</v>
      </c>
      <c r="N9" s="9">
        <v>25000</v>
      </c>
      <c r="O9" s="9">
        <v>25000</v>
      </c>
      <c r="P9" s="9">
        <v>25000</v>
      </c>
      <c r="Q9" s="9">
        <v>25000</v>
      </c>
      <c r="R9" s="9">
        <v>25000</v>
      </c>
      <c r="S9" s="9">
        <v>25000</v>
      </c>
      <c r="T9" s="79">
        <v>528000</v>
      </c>
      <c r="U9" s="79">
        <f t="shared" si="0"/>
        <v>300000</v>
      </c>
    </row>
    <row r="10" spans="1:21">
      <c r="A10" s="1"/>
      <c r="B10" s="64"/>
      <c r="C10" s="64"/>
      <c r="D10" s="64" t="s">
        <v>18</v>
      </c>
      <c r="E10" s="92"/>
      <c r="F10" s="92"/>
      <c r="G10" s="4">
        <f t="shared" si="1"/>
        <v>30000</v>
      </c>
      <c r="H10" s="9">
        <v>2500</v>
      </c>
      <c r="I10" s="9">
        <v>2500</v>
      </c>
      <c r="J10" s="9">
        <v>2500</v>
      </c>
      <c r="K10" s="9">
        <v>2500</v>
      </c>
      <c r="L10" s="9">
        <v>2500</v>
      </c>
      <c r="M10" s="9">
        <v>2500</v>
      </c>
      <c r="N10" s="9">
        <v>2500</v>
      </c>
      <c r="O10" s="9">
        <v>2500</v>
      </c>
      <c r="P10" s="9">
        <v>2500</v>
      </c>
      <c r="Q10" s="9">
        <v>2500</v>
      </c>
      <c r="R10" s="9">
        <v>2500</v>
      </c>
      <c r="S10" s="9">
        <v>2500</v>
      </c>
      <c r="T10" s="79">
        <v>20000</v>
      </c>
      <c r="U10" s="79">
        <f t="shared" si="0"/>
        <v>30000</v>
      </c>
    </row>
    <row r="11" spans="1:21">
      <c r="A11" s="1"/>
      <c r="B11" s="64"/>
      <c r="C11" s="64"/>
      <c r="D11" s="64" t="s">
        <v>19</v>
      </c>
      <c r="E11" s="92"/>
      <c r="F11" s="92"/>
      <c r="G11" s="4">
        <f t="shared" si="1"/>
        <v>30000</v>
      </c>
      <c r="H11" s="9">
        <v>2500</v>
      </c>
      <c r="I11" s="9">
        <v>2500</v>
      </c>
      <c r="J11" s="9">
        <v>2500</v>
      </c>
      <c r="K11" s="9">
        <v>2500</v>
      </c>
      <c r="L11" s="9">
        <v>2500</v>
      </c>
      <c r="M11" s="9">
        <v>2500</v>
      </c>
      <c r="N11" s="9">
        <v>2500</v>
      </c>
      <c r="O11" s="9">
        <v>2500</v>
      </c>
      <c r="P11" s="9">
        <v>2500</v>
      </c>
      <c r="Q11" s="9">
        <v>2500</v>
      </c>
      <c r="R11" s="9">
        <v>2500</v>
      </c>
      <c r="S11" s="9">
        <v>2500</v>
      </c>
      <c r="T11" s="79">
        <v>36000</v>
      </c>
      <c r="U11" s="79">
        <f t="shared" si="0"/>
        <v>30000</v>
      </c>
    </row>
    <row r="12" spans="1:21">
      <c r="A12" s="1"/>
      <c r="B12" s="64"/>
      <c r="C12" s="64"/>
      <c r="D12" s="64" t="s">
        <v>20</v>
      </c>
      <c r="E12" s="64"/>
      <c r="F12" s="64"/>
      <c r="G12" s="4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79">
        <v>2000</v>
      </c>
      <c r="U12" s="79"/>
    </row>
    <row r="13" spans="1:21">
      <c r="A13" s="1"/>
      <c r="B13" s="64"/>
      <c r="C13" s="64"/>
      <c r="D13" s="64" t="s">
        <v>21</v>
      </c>
      <c r="E13" s="64"/>
      <c r="F13" s="64"/>
      <c r="G13" s="4">
        <f t="shared" si="1"/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79">
        <v>6000</v>
      </c>
      <c r="U13" s="79">
        <f t="shared" si="0"/>
        <v>0</v>
      </c>
    </row>
    <row r="14" spans="1:21">
      <c r="A14" s="1"/>
      <c r="B14" s="64"/>
      <c r="C14" s="63" t="s">
        <v>22</v>
      </c>
      <c r="D14" s="63"/>
      <c r="E14" s="93"/>
      <c r="F14" s="93"/>
      <c r="G14" s="4">
        <f t="shared" si="1"/>
        <v>900000</v>
      </c>
      <c r="H14" s="9">
        <f t="shared" ref="H14:S14" si="2">SUM(H7:H13)</f>
        <v>75000</v>
      </c>
      <c r="I14" s="9">
        <f t="shared" si="2"/>
        <v>75000</v>
      </c>
      <c r="J14" s="9">
        <f t="shared" si="2"/>
        <v>75000</v>
      </c>
      <c r="K14" s="9">
        <f t="shared" si="2"/>
        <v>75000</v>
      </c>
      <c r="L14" s="9">
        <f t="shared" si="2"/>
        <v>75000</v>
      </c>
      <c r="M14" s="9">
        <f t="shared" si="2"/>
        <v>75000</v>
      </c>
      <c r="N14" s="9">
        <f t="shared" si="2"/>
        <v>75000</v>
      </c>
      <c r="O14" s="9">
        <f t="shared" si="2"/>
        <v>75000</v>
      </c>
      <c r="P14" s="9">
        <f t="shared" si="2"/>
        <v>75000</v>
      </c>
      <c r="Q14" s="9">
        <f t="shared" si="2"/>
        <v>75000</v>
      </c>
      <c r="R14" s="9">
        <f t="shared" si="2"/>
        <v>75000</v>
      </c>
      <c r="S14" s="9">
        <f t="shared" si="2"/>
        <v>75000</v>
      </c>
      <c r="T14" s="9">
        <f>SUM(T7:T13)</f>
        <v>889000</v>
      </c>
      <c r="U14" s="9">
        <f>SUM(U7:U13)</f>
        <v>900000</v>
      </c>
    </row>
    <row r="15" spans="1:21">
      <c r="A15" s="1"/>
      <c r="B15" s="64"/>
      <c r="C15" s="64" t="s">
        <v>23</v>
      </c>
      <c r="D15" s="64"/>
      <c r="E15" s="92"/>
      <c r="F15" s="92"/>
      <c r="G15" s="6"/>
      <c r="U15" s="8"/>
    </row>
    <row r="16" spans="1:21">
      <c r="A16" s="1"/>
      <c r="B16" s="64"/>
      <c r="C16" s="64"/>
      <c r="D16" s="64" t="s">
        <v>24</v>
      </c>
      <c r="E16" s="92"/>
      <c r="F16" s="92"/>
      <c r="G16" s="4">
        <f t="shared" si="1"/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465</v>
      </c>
      <c r="U16" s="79">
        <f>SUM(H16:S16)</f>
        <v>0</v>
      </c>
    </row>
    <row r="17" spans="1:22" s="78" customFormat="1">
      <c r="A17" s="5"/>
      <c r="B17" s="63"/>
      <c r="C17" s="63" t="s">
        <v>25</v>
      </c>
      <c r="D17" s="63"/>
      <c r="E17" s="93"/>
      <c r="F17" s="93"/>
      <c r="G17" s="81">
        <f t="shared" si="1"/>
        <v>0</v>
      </c>
      <c r="H17" s="9">
        <f t="shared" ref="H17:S17" si="3">SUM(H16:H16)</f>
        <v>0</v>
      </c>
      <c r="I17" s="9">
        <f t="shared" si="3"/>
        <v>0</v>
      </c>
      <c r="J17" s="9">
        <f t="shared" si="3"/>
        <v>0</v>
      </c>
      <c r="K17" s="9">
        <f t="shared" si="3"/>
        <v>0</v>
      </c>
      <c r="L17" s="9">
        <f t="shared" si="3"/>
        <v>0</v>
      </c>
      <c r="M17" s="9">
        <f t="shared" si="3"/>
        <v>0</v>
      </c>
      <c r="N17" s="9">
        <f t="shared" si="3"/>
        <v>0</v>
      </c>
      <c r="O17" s="9">
        <f t="shared" si="3"/>
        <v>0</v>
      </c>
      <c r="P17" s="9">
        <f t="shared" si="3"/>
        <v>0</v>
      </c>
      <c r="Q17" s="9">
        <f t="shared" si="3"/>
        <v>0</v>
      </c>
      <c r="R17" s="9">
        <f t="shared" si="3"/>
        <v>0</v>
      </c>
      <c r="S17" s="9">
        <f t="shared" si="3"/>
        <v>0</v>
      </c>
      <c r="T17" s="9">
        <f>T16</f>
        <v>465</v>
      </c>
      <c r="U17" s="9">
        <f>SUM(U16:U16)</f>
        <v>0</v>
      </c>
    </row>
    <row r="18" spans="1:22">
      <c r="A18" s="1"/>
      <c r="B18" s="64"/>
      <c r="C18" s="64" t="s">
        <v>26</v>
      </c>
      <c r="D18" s="64"/>
      <c r="E18" s="92"/>
      <c r="F18" s="92"/>
      <c r="G18" s="6"/>
      <c r="U18" s="8"/>
    </row>
    <row r="19" spans="1:22">
      <c r="A19" s="1"/>
      <c r="B19" s="64"/>
      <c r="C19" s="64"/>
      <c r="D19" s="64" t="s">
        <v>27</v>
      </c>
      <c r="E19" s="92"/>
      <c r="F19" s="92"/>
      <c r="G19" s="4">
        <f t="shared" si="1"/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79">
        <v>366744</v>
      </c>
      <c r="U19" s="79">
        <f>L19</f>
        <v>0</v>
      </c>
    </row>
    <row r="20" spans="1:22">
      <c r="A20" s="1"/>
      <c r="B20" s="64"/>
      <c r="C20" s="64"/>
      <c r="D20" s="64" t="s">
        <v>28</v>
      </c>
      <c r="E20" s="92"/>
      <c r="F20" s="92"/>
      <c r="G20" s="4">
        <f t="shared" si="1"/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82">
        <v>10000</v>
      </c>
      <c r="U20" s="79">
        <f>L20</f>
        <v>0</v>
      </c>
    </row>
    <row r="21" spans="1:22" s="78" customFormat="1">
      <c r="A21" s="5"/>
      <c r="B21" s="63"/>
      <c r="C21" s="63" t="s">
        <v>29</v>
      </c>
      <c r="D21" s="63"/>
      <c r="E21" s="93"/>
      <c r="F21" s="93"/>
      <c r="G21" s="81">
        <f t="shared" si="1"/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f>SUM(T19:T20)</f>
        <v>376744</v>
      </c>
      <c r="U21" s="9">
        <v>0</v>
      </c>
    </row>
    <row r="22" spans="1:22" s="70" customFormat="1">
      <c r="A22" s="67"/>
      <c r="B22" s="83"/>
      <c r="C22" s="86" t="s">
        <v>30</v>
      </c>
      <c r="D22" s="83"/>
      <c r="E22" s="94" t="s">
        <v>31</v>
      </c>
      <c r="F22" s="94"/>
      <c r="G22" s="84">
        <f t="shared" si="1"/>
        <v>0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82">
        <v>44300</v>
      </c>
      <c r="U22" s="69">
        <f>SUM(H22:S22)</f>
        <v>0</v>
      </c>
    </row>
    <row r="23" spans="1:22">
      <c r="A23" s="1"/>
      <c r="B23" s="64"/>
      <c r="C23" s="64" t="s">
        <v>32</v>
      </c>
      <c r="D23" s="64"/>
      <c r="E23" s="92"/>
      <c r="F23" s="92"/>
      <c r="G23" s="4">
        <f t="shared" si="1"/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f>SUM(G23:R23)</f>
        <v>0</v>
      </c>
      <c r="U23" s="9">
        <f>SUM(H23:S23)</f>
        <v>0</v>
      </c>
    </row>
    <row r="24" spans="1:22" s="70" customFormat="1">
      <c r="A24" s="67"/>
      <c r="B24" s="83"/>
      <c r="C24" s="86" t="s">
        <v>263</v>
      </c>
      <c r="D24" s="83"/>
      <c r="E24" s="83"/>
      <c r="F24" s="83"/>
      <c r="G24" s="84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82"/>
      <c r="U24" s="69"/>
    </row>
    <row r="25" spans="1:22" s="70" customFormat="1">
      <c r="A25" s="67"/>
      <c r="B25" s="83"/>
      <c r="C25" s="83"/>
      <c r="D25" s="86" t="s">
        <v>262</v>
      </c>
      <c r="E25" s="83"/>
      <c r="F25" s="83"/>
      <c r="G25" s="84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87">
        <v>40000</v>
      </c>
      <c r="U25" s="69"/>
    </row>
    <row r="26" spans="1:22" s="78" customFormat="1">
      <c r="A26" s="5"/>
      <c r="B26" s="63" t="s">
        <v>33</v>
      </c>
      <c r="C26" s="63"/>
      <c r="D26" s="63"/>
      <c r="E26" s="93"/>
      <c r="F26" s="93"/>
      <c r="G26" s="81">
        <f t="shared" si="1"/>
        <v>900000</v>
      </c>
      <c r="H26" s="9">
        <f t="shared" ref="H26:S26" si="4">(SUM(H19:H23))+H17+H14</f>
        <v>75000</v>
      </c>
      <c r="I26" s="9">
        <f t="shared" si="4"/>
        <v>75000</v>
      </c>
      <c r="J26" s="9">
        <f t="shared" si="4"/>
        <v>75000</v>
      </c>
      <c r="K26" s="9">
        <f t="shared" si="4"/>
        <v>75000</v>
      </c>
      <c r="L26" s="9">
        <f t="shared" si="4"/>
        <v>75000</v>
      </c>
      <c r="M26" s="9">
        <f t="shared" si="4"/>
        <v>75000</v>
      </c>
      <c r="N26" s="9">
        <f t="shared" si="4"/>
        <v>75000</v>
      </c>
      <c r="O26" s="9">
        <f t="shared" si="4"/>
        <v>75000</v>
      </c>
      <c r="P26" s="9">
        <f t="shared" si="4"/>
        <v>75000</v>
      </c>
      <c r="Q26" s="9">
        <f t="shared" si="4"/>
        <v>75000</v>
      </c>
      <c r="R26" s="9">
        <f t="shared" si="4"/>
        <v>75000</v>
      </c>
      <c r="S26" s="9">
        <f t="shared" si="4"/>
        <v>75000</v>
      </c>
      <c r="T26" s="9">
        <f>T14+T17+T21+T22+T25+T23</f>
        <v>1350509</v>
      </c>
      <c r="U26" s="9">
        <f>U14+U17+U21+U22+U23</f>
        <v>900000</v>
      </c>
    </row>
    <row r="27" spans="1:22">
      <c r="A27" s="1"/>
      <c r="B27" s="1"/>
      <c r="C27" s="1"/>
      <c r="D27" s="1"/>
      <c r="E27" s="88"/>
      <c r="F27" s="88"/>
      <c r="G27" s="2"/>
    </row>
    <row r="28" spans="1:22">
      <c r="A28" s="1"/>
      <c r="B28" s="65" t="s">
        <v>34</v>
      </c>
      <c r="C28" s="65"/>
      <c r="D28" s="65"/>
      <c r="E28" s="89"/>
      <c r="F28" s="89"/>
      <c r="G28" s="2"/>
      <c r="U28" s="8"/>
    </row>
    <row r="29" spans="1:22">
      <c r="A29" s="1"/>
      <c r="B29" s="65"/>
      <c r="C29" s="65" t="s">
        <v>35</v>
      </c>
      <c r="D29" s="65"/>
      <c r="E29" s="89"/>
      <c r="F29" s="89"/>
      <c r="G29" s="2"/>
    </row>
    <row r="30" spans="1:22">
      <c r="A30" s="1"/>
      <c r="B30" s="65"/>
      <c r="C30" s="65"/>
      <c r="D30" s="65" t="s">
        <v>36</v>
      </c>
      <c r="E30" s="89"/>
      <c r="F30" s="89"/>
      <c r="G30" s="7">
        <f t="shared" ref="G30:G73" si="5">U30</f>
        <v>68000</v>
      </c>
      <c r="H30" s="9">
        <v>5000</v>
      </c>
      <c r="I30" s="9">
        <v>6000</v>
      </c>
      <c r="J30" s="9">
        <v>5000</v>
      </c>
      <c r="K30" s="9">
        <v>5000</v>
      </c>
      <c r="L30" s="9">
        <v>6000</v>
      </c>
      <c r="M30" s="9">
        <v>5000</v>
      </c>
      <c r="N30" s="9">
        <v>5000</v>
      </c>
      <c r="O30" s="9">
        <v>10000</v>
      </c>
      <c r="P30" s="9">
        <v>5000</v>
      </c>
      <c r="Q30" s="9">
        <v>5000</v>
      </c>
      <c r="R30" s="9">
        <v>6000</v>
      </c>
      <c r="S30" s="9">
        <v>5000</v>
      </c>
      <c r="T30" s="79">
        <v>110000</v>
      </c>
      <c r="U30" s="79">
        <f>SUM(H30:S30)</f>
        <v>68000</v>
      </c>
      <c r="V30" t="s">
        <v>37</v>
      </c>
    </row>
    <row r="31" spans="1:22">
      <c r="A31" s="1"/>
      <c r="B31" s="65"/>
      <c r="C31" s="65"/>
      <c r="D31" s="65" t="s">
        <v>38</v>
      </c>
      <c r="E31" s="89"/>
      <c r="F31" s="89"/>
      <c r="G31" s="7">
        <f t="shared" si="5"/>
        <v>24000</v>
      </c>
      <c r="H31" s="9">
        <v>2000</v>
      </c>
      <c r="I31" s="9">
        <v>2000</v>
      </c>
      <c r="J31" s="9">
        <v>2000</v>
      </c>
      <c r="K31" s="9">
        <v>2000</v>
      </c>
      <c r="L31" s="9">
        <v>2000</v>
      </c>
      <c r="M31" s="9">
        <v>2000</v>
      </c>
      <c r="N31" s="9">
        <v>2000</v>
      </c>
      <c r="O31" s="9">
        <v>2000</v>
      </c>
      <c r="P31" s="9">
        <v>2000</v>
      </c>
      <c r="Q31" s="9">
        <v>2000</v>
      </c>
      <c r="R31" s="9">
        <v>2000</v>
      </c>
      <c r="S31" s="9">
        <v>2000</v>
      </c>
      <c r="T31" s="79">
        <v>5800</v>
      </c>
      <c r="U31" s="79">
        <f t="shared" ref="U31:U33" si="6">SUM(H31:S31)</f>
        <v>24000</v>
      </c>
    </row>
    <row r="32" spans="1:22">
      <c r="A32" s="1"/>
      <c r="B32" s="65"/>
      <c r="C32" s="65"/>
      <c r="D32" s="65" t="s">
        <v>39</v>
      </c>
      <c r="E32" s="89"/>
      <c r="F32" s="89"/>
      <c r="G32" s="7">
        <f t="shared" si="5"/>
        <v>30000</v>
      </c>
      <c r="H32" s="9">
        <v>2500</v>
      </c>
      <c r="I32" s="9">
        <v>2500</v>
      </c>
      <c r="J32" s="9">
        <v>2500</v>
      </c>
      <c r="K32" s="9">
        <v>2500</v>
      </c>
      <c r="L32" s="9">
        <v>2500</v>
      </c>
      <c r="M32" s="9">
        <v>2500</v>
      </c>
      <c r="N32" s="9">
        <v>2500</v>
      </c>
      <c r="O32" s="9">
        <v>2500</v>
      </c>
      <c r="P32" s="9">
        <v>2500</v>
      </c>
      <c r="Q32" s="9">
        <v>2500</v>
      </c>
      <c r="R32" s="9">
        <v>2500</v>
      </c>
      <c r="S32" s="9">
        <v>2500</v>
      </c>
      <c r="T32" s="79">
        <v>24000</v>
      </c>
      <c r="U32" s="79">
        <f t="shared" si="6"/>
        <v>30000</v>
      </c>
    </row>
    <row r="33" spans="1:22">
      <c r="A33" s="1"/>
      <c r="B33" s="65"/>
      <c r="C33" s="65"/>
      <c r="D33" s="65" t="s">
        <v>40</v>
      </c>
      <c r="E33" s="89"/>
      <c r="F33" s="89"/>
      <c r="G33" s="7">
        <f t="shared" si="5"/>
        <v>90210</v>
      </c>
      <c r="H33" s="9">
        <v>0</v>
      </c>
      <c r="I33" s="9">
        <v>0</v>
      </c>
      <c r="J33" s="9">
        <v>0</v>
      </c>
      <c r="K33" s="9">
        <v>10000</v>
      </c>
      <c r="L33" s="9">
        <v>10000</v>
      </c>
      <c r="M33" s="9">
        <v>10000</v>
      </c>
      <c r="N33" s="9">
        <v>10000</v>
      </c>
      <c r="O33" s="9">
        <v>10000</v>
      </c>
      <c r="P33" s="9">
        <v>10000</v>
      </c>
      <c r="Q33" s="9">
        <v>10000</v>
      </c>
      <c r="R33" s="9">
        <v>10000</v>
      </c>
      <c r="S33" s="9">
        <v>10210</v>
      </c>
      <c r="T33" s="79">
        <v>0</v>
      </c>
      <c r="U33" s="79">
        <f t="shared" si="6"/>
        <v>90210</v>
      </c>
      <c r="V33" t="s">
        <v>41</v>
      </c>
    </row>
    <row r="34" spans="1:22">
      <c r="A34" s="1"/>
      <c r="B34" s="65"/>
      <c r="C34" s="65"/>
      <c r="D34" s="68" t="s">
        <v>42</v>
      </c>
      <c r="E34" s="91" t="s">
        <v>31</v>
      </c>
      <c r="F34" s="91"/>
      <c r="G34" s="7">
        <f t="shared" si="5"/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79">
        <f>0.0369*T26</f>
        <v>49833.782100000004</v>
      </c>
      <c r="U34" s="79">
        <f>SUM(H34:S34)</f>
        <v>0</v>
      </c>
    </row>
    <row r="35" spans="1:22">
      <c r="A35" s="1"/>
      <c r="B35" s="65"/>
      <c r="C35" s="65"/>
      <c r="D35" s="65" t="s">
        <v>43</v>
      </c>
      <c r="E35" s="89"/>
      <c r="F35" s="89"/>
      <c r="G35" s="7">
        <f t="shared" si="5"/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79"/>
      <c r="U35" s="79"/>
    </row>
    <row r="36" spans="1:22">
      <c r="A36" s="1"/>
      <c r="B36" s="65"/>
      <c r="C36" s="65"/>
      <c r="D36" s="65"/>
      <c r="E36" s="89" t="s">
        <v>44</v>
      </c>
      <c r="F36" s="89"/>
      <c r="G36" s="7">
        <f>U36</f>
        <v>46000</v>
      </c>
      <c r="H36" s="9">
        <v>14000</v>
      </c>
      <c r="I36" s="9">
        <v>2000</v>
      </c>
      <c r="J36" s="9">
        <v>2000</v>
      </c>
      <c r="K36" s="9">
        <v>2000</v>
      </c>
      <c r="L36" s="9">
        <v>2000</v>
      </c>
      <c r="M36" s="9">
        <v>6000</v>
      </c>
      <c r="N36" s="9">
        <v>6000</v>
      </c>
      <c r="O36" s="9">
        <v>4000</v>
      </c>
      <c r="P36" s="9">
        <v>2000</v>
      </c>
      <c r="Q36" s="9">
        <v>2000</v>
      </c>
      <c r="R36" s="9">
        <v>2000</v>
      </c>
      <c r="S36" s="9">
        <v>2000</v>
      </c>
      <c r="T36" s="79">
        <v>20000</v>
      </c>
      <c r="U36" s="79">
        <f>SUM(H36:S36)</f>
        <v>46000</v>
      </c>
      <c r="V36" t="s">
        <v>45</v>
      </c>
    </row>
    <row r="37" spans="1:22">
      <c r="A37" s="1"/>
      <c r="B37" s="65"/>
      <c r="C37" s="65"/>
      <c r="D37" s="65"/>
      <c r="E37" s="89" t="s">
        <v>46</v>
      </c>
      <c r="F37" s="89"/>
      <c r="G37" s="7">
        <f t="shared" si="5"/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79">
        <v>0</v>
      </c>
      <c r="U37" s="79">
        <f t="shared" ref="U37:U47" si="7">SUM(H37:S37)</f>
        <v>0</v>
      </c>
    </row>
    <row r="38" spans="1:22">
      <c r="A38" s="1"/>
      <c r="B38" s="65"/>
      <c r="C38" s="65"/>
      <c r="D38" s="65"/>
      <c r="E38" s="89" t="s">
        <v>47</v>
      </c>
      <c r="F38" s="89"/>
      <c r="G38" s="7">
        <f t="shared" si="5"/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79">
        <v>36000</v>
      </c>
      <c r="U38" s="79">
        <f t="shared" si="7"/>
        <v>0</v>
      </c>
      <c r="V38" t="s">
        <v>48</v>
      </c>
    </row>
    <row r="39" spans="1:22">
      <c r="A39" s="1"/>
      <c r="B39" s="65"/>
      <c r="C39" s="65"/>
      <c r="D39" s="65"/>
      <c r="E39" s="89" t="s">
        <v>49</v>
      </c>
      <c r="F39" s="89"/>
      <c r="G39" s="73">
        <f t="shared" si="5"/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4">
        <v>0</v>
      </c>
      <c r="S39" s="74">
        <v>0</v>
      </c>
      <c r="T39" s="82">
        <v>20000</v>
      </c>
      <c r="U39" s="79">
        <f t="shared" si="7"/>
        <v>0</v>
      </c>
    </row>
    <row r="40" spans="1:22">
      <c r="A40" s="1"/>
      <c r="B40" s="65"/>
      <c r="C40" s="65"/>
      <c r="D40" s="65"/>
      <c r="E40" s="89" t="s">
        <v>50</v>
      </c>
      <c r="F40" s="89"/>
      <c r="G40" s="73">
        <f t="shared" si="5"/>
        <v>0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74">
        <v>0</v>
      </c>
      <c r="O40" s="74">
        <v>0</v>
      </c>
      <c r="P40" s="74">
        <v>0</v>
      </c>
      <c r="Q40" s="74">
        <v>0</v>
      </c>
      <c r="R40" s="74">
        <v>0</v>
      </c>
      <c r="S40" s="74">
        <v>0</v>
      </c>
      <c r="T40" s="82" t="s">
        <v>51</v>
      </c>
      <c r="U40" s="79">
        <f t="shared" si="7"/>
        <v>0</v>
      </c>
    </row>
    <row r="41" spans="1:22">
      <c r="A41" s="1"/>
      <c r="B41" s="65"/>
      <c r="C41" s="65"/>
      <c r="D41" s="65"/>
      <c r="E41" s="89" t="s">
        <v>52</v>
      </c>
      <c r="F41" s="89"/>
      <c r="G41" s="73">
        <f t="shared" si="5"/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  <c r="O41" s="74">
        <v>0</v>
      </c>
      <c r="P41" s="74">
        <v>0</v>
      </c>
      <c r="Q41" s="74">
        <v>0</v>
      </c>
      <c r="R41" s="74">
        <v>0</v>
      </c>
      <c r="S41" s="74">
        <v>0</v>
      </c>
      <c r="T41" s="82" t="s">
        <v>51</v>
      </c>
      <c r="U41" s="79">
        <f t="shared" si="7"/>
        <v>0</v>
      </c>
    </row>
    <row r="42" spans="1:22">
      <c r="A42" s="1"/>
      <c r="B42" s="65"/>
      <c r="C42" s="65"/>
      <c r="D42" s="65"/>
      <c r="E42" s="89" t="s">
        <v>53</v>
      </c>
      <c r="F42" s="89"/>
      <c r="G42" s="73">
        <f t="shared" si="5"/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>
        <v>0</v>
      </c>
      <c r="S42" s="74">
        <v>0</v>
      </c>
      <c r="T42" s="82" t="s">
        <v>51</v>
      </c>
      <c r="U42" s="79">
        <f t="shared" si="7"/>
        <v>0</v>
      </c>
    </row>
    <row r="43" spans="1:22">
      <c r="A43" s="1"/>
      <c r="B43" s="65"/>
      <c r="C43" s="65"/>
      <c r="D43" s="65"/>
      <c r="E43" s="65" t="s">
        <v>54</v>
      </c>
      <c r="F43" s="65"/>
      <c r="G43" s="7">
        <f t="shared" si="5"/>
        <v>4800</v>
      </c>
      <c r="H43" s="9">
        <v>400</v>
      </c>
      <c r="I43" s="9">
        <v>400</v>
      </c>
      <c r="J43" s="9">
        <v>400</v>
      </c>
      <c r="K43" s="9">
        <v>400</v>
      </c>
      <c r="L43" s="9">
        <v>400</v>
      </c>
      <c r="M43" s="9">
        <v>400</v>
      </c>
      <c r="N43" s="9">
        <v>400</v>
      </c>
      <c r="O43" s="9">
        <v>400</v>
      </c>
      <c r="P43" s="9">
        <v>400</v>
      </c>
      <c r="Q43" s="9">
        <v>400</v>
      </c>
      <c r="R43" s="9">
        <v>400</v>
      </c>
      <c r="S43" s="9">
        <v>400</v>
      </c>
      <c r="T43" s="79">
        <v>6000</v>
      </c>
      <c r="U43" s="79">
        <f t="shared" si="7"/>
        <v>4800</v>
      </c>
      <c r="V43" t="s">
        <v>55</v>
      </c>
    </row>
    <row r="44" spans="1:22">
      <c r="A44" s="1"/>
      <c r="B44" s="65"/>
      <c r="C44" s="65"/>
      <c r="D44" s="65" t="s">
        <v>56</v>
      </c>
      <c r="E44" s="89"/>
      <c r="F44" s="89"/>
      <c r="G44" s="7">
        <f t="shared" si="5"/>
        <v>50800</v>
      </c>
      <c r="H44" s="9">
        <f t="shared" ref="H44:R44" si="8">SUM(H36:H43)</f>
        <v>14400</v>
      </c>
      <c r="I44" s="9">
        <f t="shared" si="8"/>
        <v>2400</v>
      </c>
      <c r="J44" s="9">
        <f t="shared" si="8"/>
        <v>2400</v>
      </c>
      <c r="K44" s="9">
        <f t="shared" si="8"/>
        <v>2400</v>
      </c>
      <c r="L44" s="9">
        <f t="shared" si="8"/>
        <v>2400</v>
      </c>
      <c r="M44" s="9">
        <f t="shared" si="8"/>
        <v>6400</v>
      </c>
      <c r="N44" s="9">
        <f t="shared" si="8"/>
        <v>6400</v>
      </c>
      <c r="O44" s="9">
        <f t="shared" si="8"/>
        <v>4400</v>
      </c>
      <c r="P44" s="9">
        <f t="shared" si="8"/>
        <v>2400</v>
      </c>
      <c r="Q44" s="9">
        <f t="shared" si="8"/>
        <v>2400</v>
      </c>
      <c r="R44" s="9">
        <f t="shared" si="8"/>
        <v>2400</v>
      </c>
      <c r="S44" s="9">
        <f>SUM(S36:S43)</f>
        <v>2400</v>
      </c>
      <c r="T44" s="79">
        <f>SUM(T36:T43)</f>
        <v>82000</v>
      </c>
      <c r="U44" s="79">
        <f>SUM(H44:S44)</f>
        <v>50800</v>
      </c>
    </row>
    <row r="45" spans="1:22" s="78" customFormat="1">
      <c r="A45" s="5"/>
      <c r="B45" s="66"/>
      <c r="C45" s="66" t="s">
        <v>57</v>
      </c>
      <c r="D45" s="66"/>
      <c r="E45" s="90"/>
      <c r="F45" s="90"/>
      <c r="G45" s="77">
        <f t="shared" si="5"/>
        <v>263010</v>
      </c>
      <c r="H45" s="9" t="e">
        <f>H44+H35+H34+H33+#REF!+H32+H31+H30</f>
        <v>#REF!</v>
      </c>
      <c r="I45" s="9" t="e">
        <f>I44+I35+I34+I33+#REF!+I32+I31+I30</f>
        <v>#REF!</v>
      </c>
      <c r="J45" s="9" t="e">
        <f>J44+J35+J34+J33+#REF!+J32+J31+J30</f>
        <v>#REF!</v>
      </c>
      <c r="K45" s="9" t="e">
        <f>K44+K35+K34+K33+#REF!+K32+K31+K30</f>
        <v>#REF!</v>
      </c>
      <c r="L45" s="9" t="e">
        <f>L44+L35+L34+L33+#REF!+L32+L31+L30</f>
        <v>#REF!</v>
      </c>
      <c r="M45" s="9" t="e">
        <f>M44+M35+M34+M33+#REF!+M32+M31+M30</f>
        <v>#REF!</v>
      </c>
      <c r="N45" s="9" t="e">
        <f>N44+N35+N34+N33+#REF!+N32+N31+N30</f>
        <v>#REF!</v>
      </c>
      <c r="O45" s="9" t="e">
        <f>O44+O35+O34+O33+#REF!+O32+O31+O30</f>
        <v>#REF!</v>
      </c>
      <c r="P45" s="9" t="e">
        <f>P44+P35+P34+P33+#REF!+P32+P31+P30</f>
        <v>#REF!</v>
      </c>
      <c r="Q45" s="9" t="e">
        <f>Q44+Q35+Q34+Q33+#REF!+Q32+Q31+Q30</f>
        <v>#REF!</v>
      </c>
      <c r="R45" s="9" t="e">
        <f>R44+R35+R34+R33+#REF!+R32+R31+R30</f>
        <v>#REF!</v>
      </c>
      <c r="S45" s="9" t="e">
        <f>S44+S35+S34+S33+#REF!+S32+S31+S30</f>
        <v>#REF!</v>
      </c>
      <c r="T45" s="9">
        <f>SUM(T30:T34)+T44</f>
        <v>271633.78210000001</v>
      </c>
      <c r="U45" s="9">
        <f>SUM(U30:U34)+U44</f>
        <v>263010</v>
      </c>
    </row>
    <row r="46" spans="1:22">
      <c r="A46" s="1"/>
      <c r="B46" s="65"/>
      <c r="C46" s="65" t="s">
        <v>58</v>
      </c>
      <c r="D46" s="65"/>
      <c r="E46" s="89"/>
      <c r="F46" s="89"/>
      <c r="G46" s="7"/>
    </row>
    <row r="47" spans="1:22">
      <c r="A47" s="1"/>
      <c r="B47" s="65"/>
      <c r="C47" s="65"/>
      <c r="D47" s="65" t="s">
        <v>59</v>
      </c>
      <c r="E47" s="89"/>
      <c r="F47" s="89"/>
      <c r="G47" s="7">
        <f t="shared" si="5"/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79">
        <v>148245</v>
      </c>
      <c r="U47" s="79">
        <f t="shared" si="7"/>
        <v>0</v>
      </c>
    </row>
    <row r="48" spans="1:22">
      <c r="A48" s="1"/>
      <c r="B48" s="65"/>
      <c r="C48" s="65"/>
      <c r="D48" s="65" t="s">
        <v>60</v>
      </c>
      <c r="E48" s="89"/>
      <c r="F48" s="89"/>
      <c r="G48" s="7">
        <f t="shared" si="5"/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79">
        <v>118000</v>
      </c>
      <c r="U48" s="79">
        <f t="shared" ref="U48:U49" si="9">SUM(H48:S48)</f>
        <v>0</v>
      </c>
    </row>
    <row r="49" spans="1:22">
      <c r="A49" s="1"/>
      <c r="B49" s="65"/>
      <c r="C49" s="65"/>
      <c r="D49" s="65" t="s">
        <v>61</v>
      </c>
      <c r="E49" s="89"/>
      <c r="F49" s="89"/>
      <c r="G49" s="7">
        <f t="shared" si="5"/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79" t="s">
        <v>51</v>
      </c>
      <c r="U49" s="79">
        <f t="shared" si="9"/>
        <v>0</v>
      </c>
    </row>
    <row r="50" spans="1:22" s="78" customFormat="1">
      <c r="A50" s="5"/>
      <c r="B50" s="66"/>
      <c r="C50" s="66" t="s">
        <v>62</v>
      </c>
      <c r="D50" s="66"/>
      <c r="E50" s="66"/>
      <c r="F50" s="66"/>
      <c r="G50" s="77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>
        <f>SUM(T47:T49)</f>
        <v>266245</v>
      </c>
      <c r="U50" s="76"/>
    </row>
    <row r="51" spans="1:22">
      <c r="A51" s="1"/>
      <c r="B51" s="65"/>
      <c r="C51" s="65" t="s">
        <v>63</v>
      </c>
      <c r="D51" s="65"/>
      <c r="E51" s="89"/>
      <c r="F51" s="89"/>
      <c r="G51" s="7"/>
    </row>
    <row r="52" spans="1:22">
      <c r="A52" s="1"/>
      <c r="B52" s="65"/>
      <c r="C52" s="65"/>
      <c r="D52" s="65" t="s">
        <v>64</v>
      </c>
      <c r="E52" s="89"/>
      <c r="F52" s="89"/>
      <c r="G52" s="7">
        <f t="shared" si="5"/>
        <v>348000</v>
      </c>
      <c r="H52" s="9">
        <v>26000</v>
      </c>
      <c r="I52" s="9">
        <v>26000</v>
      </c>
      <c r="J52" s="9">
        <v>26000</v>
      </c>
      <c r="K52" s="9">
        <v>30000</v>
      </c>
      <c r="L52" s="9">
        <v>30000</v>
      </c>
      <c r="M52" s="9">
        <v>30000</v>
      </c>
      <c r="N52" s="9">
        <v>30000</v>
      </c>
      <c r="O52" s="9">
        <v>30000</v>
      </c>
      <c r="P52" s="9">
        <v>30000</v>
      </c>
      <c r="Q52" s="9">
        <v>30000</v>
      </c>
      <c r="R52" s="9">
        <v>30000</v>
      </c>
      <c r="S52" s="9">
        <v>30000</v>
      </c>
      <c r="T52" s="79">
        <v>331200</v>
      </c>
      <c r="U52" s="79">
        <f t="shared" ref="U52:U60" si="10">SUM(H52:S52)</f>
        <v>348000</v>
      </c>
    </row>
    <row r="53" spans="1:22">
      <c r="A53" s="1"/>
      <c r="B53" s="65"/>
      <c r="C53" s="65"/>
      <c r="D53" s="65" t="s">
        <v>65</v>
      </c>
      <c r="E53" s="89"/>
      <c r="F53" s="89"/>
      <c r="G53" s="7">
        <f t="shared" si="5"/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79">
        <v>0</v>
      </c>
      <c r="U53" s="79">
        <f t="shared" si="10"/>
        <v>0</v>
      </c>
    </row>
    <row r="54" spans="1:22">
      <c r="A54" s="1"/>
      <c r="B54" s="65"/>
      <c r="C54" s="65"/>
      <c r="D54" s="65" t="s">
        <v>66</v>
      </c>
      <c r="E54" s="89"/>
      <c r="F54" s="89"/>
      <c r="G54" s="7">
        <f t="shared" si="5"/>
        <v>116400</v>
      </c>
      <c r="H54" s="9">
        <v>9700</v>
      </c>
      <c r="I54" s="9">
        <v>9700</v>
      </c>
      <c r="J54" s="9">
        <v>9700</v>
      </c>
      <c r="K54" s="9">
        <v>9700</v>
      </c>
      <c r="L54" s="9">
        <v>9700</v>
      </c>
      <c r="M54" s="9">
        <v>9700</v>
      </c>
      <c r="N54" s="9">
        <v>9700</v>
      </c>
      <c r="O54" s="9">
        <v>9700</v>
      </c>
      <c r="P54" s="9">
        <v>9700</v>
      </c>
      <c r="Q54" s="9">
        <v>9700</v>
      </c>
      <c r="R54" s="9">
        <v>9700</v>
      </c>
      <c r="S54" s="9">
        <v>9700</v>
      </c>
      <c r="T54" s="79">
        <v>79800</v>
      </c>
      <c r="U54" s="79">
        <f t="shared" si="10"/>
        <v>116400</v>
      </c>
    </row>
    <row r="55" spans="1:22">
      <c r="A55" s="1"/>
      <c r="B55" s="65"/>
      <c r="C55" s="65"/>
      <c r="D55" s="65" t="s">
        <v>67</v>
      </c>
      <c r="E55" s="89"/>
      <c r="F55" s="89"/>
      <c r="G55" s="7">
        <f t="shared" si="5"/>
        <v>24000</v>
      </c>
      <c r="H55" s="9">
        <v>2000</v>
      </c>
      <c r="I55" s="9">
        <v>2000</v>
      </c>
      <c r="J55" s="9">
        <v>2000</v>
      </c>
      <c r="K55" s="9">
        <v>2000</v>
      </c>
      <c r="L55" s="9">
        <v>2000</v>
      </c>
      <c r="M55" s="9">
        <v>2000</v>
      </c>
      <c r="N55" s="9">
        <v>2000</v>
      </c>
      <c r="O55" s="9">
        <v>2000</v>
      </c>
      <c r="P55" s="9">
        <v>2000</v>
      </c>
      <c r="Q55" s="9">
        <v>2000</v>
      </c>
      <c r="R55" s="9">
        <v>2000</v>
      </c>
      <c r="S55" s="9">
        <v>2000</v>
      </c>
      <c r="T55" s="79">
        <v>87600</v>
      </c>
      <c r="U55" s="79">
        <f t="shared" si="10"/>
        <v>24000</v>
      </c>
      <c r="V55" t="s">
        <v>68</v>
      </c>
    </row>
    <row r="56" spans="1:22">
      <c r="A56" s="1"/>
      <c r="B56" s="65"/>
      <c r="C56" s="65"/>
      <c r="D56" s="65" t="s">
        <v>69</v>
      </c>
      <c r="E56" s="89"/>
      <c r="F56" s="89"/>
      <c r="G56" s="7">
        <f t="shared" si="5"/>
        <v>6000</v>
      </c>
      <c r="H56" s="9">
        <v>500</v>
      </c>
      <c r="I56" s="9">
        <v>500</v>
      </c>
      <c r="J56" s="9">
        <v>500</v>
      </c>
      <c r="K56" s="9">
        <v>500</v>
      </c>
      <c r="L56" s="9">
        <v>500</v>
      </c>
      <c r="M56" s="9">
        <v>500</v>
      </c>
      <c r="N56" s="9">
        <v>500</v>
      </c>
      <c r="O56" s="9">
        <v>500</v>
      </c>
      <c r="P56" s="9">
        <v>500</v>
      </c>
      <c r="Q56" s="9">
        <v>500</v>
      </c>
      <c r="R56" s="9">
        <v>500</v>
      </c>
      <c r="S56" s="9">
        <v>500</v>
      </c>
      <c r="T56" s="79">
        <v>20000</v>
      </c>
      <c r="U56" s="79">
        <f t="shared" si="10"/>
        <v>6000</v>
      </c>
      <c r="V56" t="s">
        <v>68</v>
      </c>
    </row>
    <row r="57" spans="1:22">
      <c r="A57" s="1"/>
      <c r="B57" s="65"/>
      <c r="C57" s="65"/>
      <c r="D57" s="65" t="s">
        <v>70</v>
      </c>
      <c r="E57" s="91"/>
      <c r="F57" s="91"/>
      <c r="G57" s="7">
        <f t="shared" si="5"/>
        <v>1800</v>
      </c>
      <c r="H57" s="9">
        <v>150</v>
      </c>
      <c r="I57" s="9">
        <v>150</v>
      </c>
      <c r="J57" s="9">
        <v>150</v>
      </c>
      <c r="K57" s="9">
        <v>150</v>
      </c>
      <c r="L57" s="9">
        <v>150</v>
      </c>
      <c r="M57" s="9">
        <v>150</v>
      </c>
      <c r="N57" s="9">
        <v>150</v>
      </c>
      <c r="O57" s="9">
        <v>150</v>
      </c>
      <c r="P57" s="9">
        <v>150</v>
      </c>
      <c r="Q57" s="9">
        <v>150</v>
      </c>
      <c r="R57" s="9">
        <v>150</v>
      </c>
      <c r="S57" s="9">
        <v>150</v>
      </c>
      <c r="T57" s="79">
        <v>0</v>
      </c>
      <c r="U57" s="79">
        <f t="shared" si="10"/>
        <v>1800</v>
      </c>
      <c r="V57" t="s">
        <v>71</v>
      </c>
    </row>
    <row r="58" spans="1:22">
      <c r="A58" s="1"/>
      <c r="B58" s="65"/>
      <c r="C58" s="65"/>
      <c r="D58" s="65" t="s">
        <v>72</v>
      </c>
      <c r="E58" s="89"/>
      <c r="F58" s="89"/>
      <c r="G58" s="7">
        <f t="shared" si="5"/>
        <v>31200</v>
      </c>
      <c r="H58" s="9">
        <v>2600</v>
      </c>
      <c r="I58" s="9">
        <v>2600</v>
      </c>
      <c r="J58" s="9">
        <v>2600</v>
      </c>
      <c r="K58" s="9">
        <v>2600</v>
      </c>
      <c r="L58" s="9">
        <v>2600</v>
      </c>
      <c r="M58" s="9">
        <v>2600</v>
      </c>
      <c r="N58" s="9">
        <v>2600</v>
      </c>
      <c r="O58" s="9">
        <v>2600</v>
      </c>
      <c r="P58" s="9">
        <v>2600</v>
      </c>
      <c r="Q58" s="9">
        <v>2600</v>
      </c>
      <c r="R58" s="9">
        <v>2600</v>
      </c>
      <c r="S58" s="9">
        <v>2600</v>
      </c>
      <c r="T58" s="79">
        <v>30000</v>
      </c>
      <c r="U58" s="79">
        <f t="shared" si="10"/>
        <v>31200</v>
      </c>
    </row>
    <row r="59" spans="1:22">
      <c r="A59" s="1"/>
      <c r="B59" s="65"/>
      <c r="C59" s="65"/>
      <c r="D59" s="65" t="s">
        <v>73</v>
      </c>
      <c r="E59" s="89"/>
      <c r="F59" s="89"/>
      <c r="G59" s="7">
        <f t="shared" si="5"/>
        <v>600</v>
      </c>
      <c r="H59" s="9">
        <v>50</v>
      </c>
      <c r="I59" s="9">
        <v>50</v>
      </c>
      <c r="J59" s="9">
        <v>50</v>
      </c>
      <c r="K59" s="9">
        <v>50</v>
      </c>
      <c r="L59" s="9">
        <v>50</v>
      </c>
      <c r="M59" s="9">
        <v>50</v>
      </c>
      <c r="N59" s="9">
        <v>50</v>
      </c>
      <c r="O59" s="9">
        <v>50</v>
      </c>
      <c r="P59" s="9">
        <v>50</v>
      </c>
      <c r="Q59" s="9">
        <v>50</v>
      </c>
      <c r="R59" s="9">
        <v>50</v>
      </c>
      <c r="S59" s="9">
        <v>50</v>
      </c>
      <c r="T59" s="79">
        <v>600</v>
      </c>
      <c r="U59" s="79">
        <f t="shared" si="10"/>
        <v>600</v>
      </c>
    </row>
    <row r="60" spans="1:22">
      <c r="A60" s="1"/>
      <c r="B60" s="65"/>
      <c r="C60" s="65"/>
      <c r="D60" s="65" t="s">
        <v>74</v>
      </c>
      <c r="E60" s="89"/>
      <c r="F60" s="89"/>
      <c r="G60" s="7">
        <f t="shared" si="5"/>
        <v>20400</v>
      </c>
      <c r="H60" s="9">
        <v>1700</v>
      </c>
      <c r="I60" s="9">
        <v>1700</v>
      </c>
      <c r="J60" s="9">
        <v>1700</v>
      </c>
      <c r="K60" s="9">
        <v>1700</v>
      </c>
      <c r="L60" s="9">
        <v>1700</v>
      </c>
      <c r="M60" s="9">
        <v>1700</v>
      </c>
      <c r="N60" s="9">
        <v>1700</v>
      </c>
      <c r="O60" s="9">
        <v>1700</v>
      </c>
      <c r="P60" s="9">
        <v>1700</v>
      </c>
      <c r="Q60" s="9">
        <v>1700</v>
      </c>
      <c r="R60" s="9">
        <v>1700</v>
      </c>
      <c r="S60" s="9">
        <v>1700</v>
      </c>
      <c r="T60" s="79">
        <v>24000</v>
      </c>
      <c r="U60" s="79">
        <f t="shared" si="10"/>
        <v>20400</v>
      </c>
    </row>
    <row r="61" spans="1:22">
      <c r="A61" s="5"/>
      <c r="B61" s="66"/>
      <c r="C61" s="65" t="s">
        <v>75</v>
      </c>
      <c r="D61" s="66"/>
      <c r="E61" s="90"/>
      <c r="F61" s="90"/>
      <c r="G61" s="7">
        <f t="shared" si="5"/>
        <v>548400</v>
      </c>
      <c r="H61" s="9">
        <f>SUM(H52:H60)</f>
        <v>42700</v>
      </c>
      <c r="I61" s="9">
        <f t="shared" ref="I61:S61" si="11">SUM(I52:I60)</f>
        <v>42700</v>
      </c>
      <c r="J61" s="9">
        <f t="shared" si="11"/>
        <v>42700</v>
      </c>
      <c r="K61" s="9">
        <f t="shared" si="11"/>
        <v>46700</v>
      </c>
      <c r="L61" s="9">
        <f t="shared" si="11"/>
        <v>46700</v>
      </c>
      <c r="M61" s="9">
        <f t="shared" si="11"/>
        <v>46700</v>
      </c>
      <c r="N61" s="9">
        <f t="shared" si="11"/>
        <v>46700</v>
      </c>
      <c r="O61" s="9">
        <f t="shared" si="11"/>
        <v>46700</v>
      </c>
      <c r="P61" s="9">
        <f t="shared" si="11"/>
        <v>46700</v>
      </c>
      <c r="Q61" s="9">
        <f t="shared" si="11"/>
        <v>46700</v>
      </c>
      <c r="R61" s="9">
        <f t="shared" si="11"/>
        <v>46700</v>
      </c>
      <c r="S61" s="9">
        <f t="shared" si="11"/>
        <v>46700</v>
      </c>
      <c r="T61" s="9">
        <f>SUM(T52:T60)</f>
        <v>573200</v>
      </c>
      <c r="U61" s="9">
        <f>SUM(U52:U60)</f>
        <v>548400</v>
      </c>
    </row>
    <row r="62" spans="1:22">
      <c r="A62" s="1"/>
      <c r="B62" s="65"/>
      <c r="C62" s="65" t="s">
        <v>76</v>
      </c>
      <c r="D62" s="65"/>
      <c r="E62" s="89"/>
      <c r="F62" s="89"/>
      <c r="G62" s="7"/>
    </row>
    <row r="63" spans="1:22">
      <c r="A63" s="1"/>
      <c r="B63" s="65"/>
      <c r="C63" s="65"/>
      <c r="D63" s="65" t="s">
        <v>77</v>
      </c>
      <c r="E63" s="89"/>
      <c r="F63" s="89"/>
      <c r="G63" s="7">
        <f t="shared" si="5"/>
        <v>900</v>
      </c>
      <c r="H63" s="9">
        <v>75</v>
      </c>
      <c r="I63" s="9">
        <v>75</v>
      </c>
      <c r="J63" s="9">
        <v>75</v>
      </c>
      <c r="K63" s="9">
        <v>75</v>
      </c>
      <c r="L63" s="9">
        <v>75</v>
      </c>
      <c r="M63" s="9">
        <v>75</v>
      </c>
      <c r="N63" s="9">
        <v>75</v>
      </c>
      <c r="O63" s="9">
        <v>75</v>
      </c>
      <c r="P63" s="9">
        <v>75</v>
      </c>
      <c r="Q63" s="9">
        <v>75</v>
      </c>
      <c r="R63" s="9">
        <v>75</v>
      </c>
      <c r="S63" s="9">
        <v>75</v>
      </c>
      <c r="T63" s="79">
        <v>2500</v>
      </c>
      <c r="U63" s="79">
        <f t="shared" ref="U63:U67" si="12">SUM(H63:S63)</f>
        <v>900</v>
      </c>
      <c r="V63" t="s">
        <v>78</v>
      </c>
    </row>
    <row r="64" spans="1:22">
      <c r="A64" s="1"/>
      <c r="B64" s="65"/>
      <c r="C64" s="65"/>
      <c r="D64" s="65" t="s">
        <v>79</v>
      </c>
      <c r="E64" s="89"/>
      <c r="F64" s="89"/>
      <c r="G64" s="7">
        <f t="shared" si="5"/>
        <v>5280</v>
      </c>
      <c r="H64" s="9">
        <v>440</v>
      </c>
      <c r="I64" s="9">
        <v>440</v>
      </c>
      <c r="J64" s="9">
        <v>440</v>
      </c>
      <c r="K64" s="9">
        <v>440</v>
      </c>
      <c r="L64" s="9">
        <v>440</v>
      </c>
      <c r="M64" s="9">
        <v>440</v>
      </c>
      <c r="N64" s="9">
        <v>440</v>
      </c>
      <c r="O64" s="9">
        <v>440</v>
      </c>
      <c r="P64" s="9">
        <v>440</v>
      </c>
      <c r="Q64" s="9">
        <v>440</v>
      </c>
      <c r="R64" s="9">
        <v>440</v>
      </c>
      <c r="S64" s="9">
        <v>440</v>
      </c>
      <c r="T64" s="79">
        <v>3600</v>
      </c>
      <c r="U64" s="79">
        <f t="shared" si="12"/>
        <v>5280</v>
      </c>
    </row>
    <row r="65" spans="1:22">
      <c r="A65" s="1"/>
      <c r="B65" s="65"/>
      <c r="C65" s="65"/>
      <c r="D65" s="65" t="s">
        <v>80</v>
      </c>
      <c r="E65" s="89"/>
      <c r="F65" s="89"/>
      <c r="G65" s="7">
        <f t="shared" si="5"/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79">
        <v>0</v>
      </c>
      <c r="U65" s="79">
        <f t="shared" si="12"/>
        <v>0</v>
      </c>
    </row>
    <row r="66" spans="1:22">
      <c r="A66" s="1"/>
      <c r="B66" s="65"/>
      <c r="C66" s="65"/>
      <c r="D66" s="65" t="s">
        <v>81</v>
      </c>
      <c r="E66" s="89"/>
      <c r="F66" s="89"/>
      <c r="G66" s="7">
        <f t="shared" si="5"/>
        <v>17800</v>
      </c>
      <c r="H66" s="9">
        <v>800</v>
      </c>
      <c r="I66" s="9">
        <v>800</v>
      </c>
      <c r="J66" s="9">
        <v>800</v>
      </c>
      <c r="K66" s="9">
        <v>800</v>
      </c>
      <c r="L66" s="9">
        <v>2300</v>
      </c>
      <c r="M66" s="9">
        <v>800</v>
      </c>
      <c r="N66" s="9">
        <v>6000</v>
      </c>
      <c r="O66" s="9">
        <v>800</v>
      </c>
      <c r="P66" s="9">
        <v>2300</v>
      </c>
      <c r="Q66" s="9">
        <v>800</v>
      </c>
      <c r="R66" s="9">
        <v>800</v>
      </c>
      <c r="S66" s="9">
        <v>800</v>
      </c>
      <c r="T66" s="79">
        <v>12000</v>
      </c>
      <c r="U66" s="79">
        <f t="shared" si="12"/>
        <v>17800</v>
      </c>
    </row>
    <row r="67" spans="1:22">
      <c r="A67" s="1"/>
      <c r="B67" s="65"/>
      <c r="C67" s="65"/>
      <c r="D67" s="65" t="s">
        <v>82</v>
      </c>
      <c r="E67" s="89"/>
      <c r="F67" s="89"/>
      <c r="G67" s="7">
        <f t="shared" si="5"/>
        <v>17000</v>
      </c>
      <c r="H67" s="9">
        <v>0</v>
      </c>
      <c r="I67" s="9">
        <v>0</v>
      </c>
      <c r="J67" s="9">
        <v>0</v>
      </c>
      <c r="K67" s="9">
        <v>0</v>
      </c>
      <c r="L67" s="9">
        <v>1500</v>
      </c>
      <c r="M67" s="9">
        <v>7000</v>
      </c>
      <c r="N67" s="9">
        <v>0</v>
      </c>
      <c r="O67" s="9">
        <v>0</v>
      </c>
      <c r="P67" s="9">
        <v>0</v>
      </c>
      <c r="Q67" s="9">
        <v>0</v>
      </c>
      <c r="R67" s="9">
        <v>1500</v>
      </c>
      <c r="S67" s="9">
        <v>7000</v>
      </c>
      <c r="T67" s="80">
        <v>0</v>
      </c>
      <c r="U67" s="79">
        <f t="shared" si="12"/>
        <v>17000</v>
      </c>
      <c r="V67" s="70" t="s">
        <v>83</v>
      </c>
    </row>
    <row r="68" spans="1:22">
      <c r="A68" s="1"/>
      <c r="B68" s="65"/>
      <c r="C68" s="65"/>
      <c r="D68" s="68" t="s">
        <v>84</v>
      </c>
      <c r="E68" s="68" t="s">
        <v>85</v>
      </c>
      <c r="F68" s="65"/>
      <c r="G68" s="7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79">
        <v>5000</v>
      </c>
      <c r="U68" s="79">
        <v>17800</v>
      </c>
    </row>
    <row r="69" spans="1:22">
      <c r="A69" s="1"/>
      <c r="B69" s="65"/>
      <c r="C69" s="65"/>
      <c r="D69" s="65" t="s">
        <v>86</v>
      </c>
      <c r="E69" s="89"/>
      <c r="F69" s="89"/>
      <c r="G69" s="7">
        <f t="shared" si="5"/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79">
        <v>0</v>
      </c>
      <c r="U69" s="79">
        <f t="shared" ref="U69:U71" si="13">SUM(H69:S69)</f>
        <v>0</v>
      </c>
    </row>
    <row r="70" spans="1:22">
      <c r="A70" s="1"/>
      <c r="B70" s="65"/>
      <c r="C70" s="65"/>
      <c r="D70" s="65" t="s">
        <v>87</v>
      </c>
      <c r="E70" s="89"/>
      <c r="F70" s="89"/>
      <c r="G70" s="7">
        <f t="shared" si="5"/>
        <v>38500</v>
      </c>
      <c r="H70" s="9">
        <v>2500</v>
      </c>
      <c r="I70" s="9">
        <v>2500</v>
      </c>
      <c r="J70" s="9">
        <v>2500</v>
      </c>
      <c r="K70" s="9">
        <v>6000</v>
      </c>
      <c r="L70" s="9">
        <v>3000</v>
      </c>
      <c r="M70" s="9">
        <v>3000</v>
      </c>
      <c r="N70" s="9">
        <v>3000</v>
      </c>
      <c r="O70" s="9">
        <v>4000</v>
      </c>
      <c r="P70" s="9">
        <v>3000</v>
      </c>
      <c r="Q70" s="9">
        <v>3000</v>
      </c>
      <c r="R70" s="9">
        <v>3000</v>
      </c>
      <c r="S70" s="9">
        <v>3000</v>
      </c>
      <c r="T70" s="79">
        <v>30000</v>
      </c>
      <c r="U70" s="79">
        <f t="shared" si="13"/>
        <v>38500</v>
      </c>
    </row>
    <row r="71" spans="1:22">
      <c r="A71" s="1"/>
      <c r="B71" s="65"/>
      <c r="C71" s="65"/>
      <c r="D71" s="65" t="s">
        <v>88</v>
      </c>
      <c r="E71" s="89"/>
      <c r="F71" s="89"/>
      <c r="G71" s="7">
        <f t="shared" si="5"/>
        <v>10200</v>
      </c>
      <c r="H71" s="9">
        <v>850</v>
      </c>
      <c r="I71" s="9">
        <v>850</v>
      </c>
      <c r="J71" s="9">
        <v>850</v>
      </c>
      <c r="K71" s="9">
        <v>850</v>
      </c>
      <c r="L71" s="9">
        <v>850</v>
      </c>
      <c r="M71" s="9">
        <v>850</v>
      </c>
      <c r="N71" s="9">
        <v>850</v>
      </c>
      <c r="O71" s="9">
        <v>850</v>
      </c>
      <c r="P71" s="9">
        <v>850</v>
      </c>
      <c r="Q71" s="9">
        <v>850</v>
      </c>
      <c r="R71" s="9">
        <v>850</v>
      </c>
      <c r="S71" s="9">
        <v>850</v>
      </c>
      <c r="T71" s="79">
        <v>2400</v>
      </c>
      <c r="U71" s="79">
        <f t="shared" si="13"/>
        <v>10200</v>
      </c>
    </row>
    <row r="72" spans="1:22">
      <c r="A72" s="1"/>
      <c r="B72" s="65"/>
      <c r="C72" s="65"/>
      <c r="D72" s="65" t="s">
        <v>89</v>
      </c>
      <c r="E72" s="65"/>
      <c r="F72" s="65"/>
      <c r="G72" s="7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79">
        <v>420</v>
      </c>
      <c r="U72" s="79">
        <v>0</v>
      </c>
    </row>
    <row r="73" spans="1:22">
      <c r="A73" s="1"/>
      <c r="B73" s="65"/>
      <c r="C73" s="66" t="s">
        <v>90</v>
      </c>
      <c r="D73" s="66"/>
      <c r="E73" s="90"/>
      <c r="F73" s="90"/>
      <c r="G73" s="7">
        <f t="shared" si="5"/>
        <v>107480</v>
      </c>
      <c r="H73" s="9" t="e">
        <f>H71+H70+H69+#REF!+#REF!+H67+H66+H65+H64+H63</f>
        <v>#REF!</v>
      </c>
      <c r="I73" s="9" t="e">
        <f>I71+I70+I69+#REF!+#REF!+I67+I66+I65+I64+I63</f>
        <v>#REF!</v>
      </c>
      <c r="J73" s="9" t="e">
        <f>J71+J70+J69+#REF!+#REF!+J67+J66+J65+J64+J63</f>
        <v>#REF!</v>
      </c>
      <c r="K73" s="9" t="e">
        <f>K71+K70+K69+#REF!+#REF!+K67+K66+K65+K64+K63</f>
        <v>#REF!</v>
      </c>
      <c r="L73" s="9" t="e">
        <f>L71+L70+L69+#REF!+#REF!+L67+L66+L65+L64+L63</f>
        <v>#REF!</v>
      </c>
      <c r="M73" s="9" t="e">
        <f>M71+M70+M69+#REF!+#REF!+M67+M66+M65+M64+M63</f>
        <v>#REF!</v>
      </c>
      <c r="N73" s="9" t="e">
        <f>N71+N70+N69+#REF!+#REF!+N67+N66+N65+N64+N63</f>
        <v>#REF!</v>
      </c>
      <c r="O73" s="9" t="e">
        <f>O71+O70+O69+#REF!+#REF!+O67+O66+O65+O64+O63</f>
        <v>#REF!</v>
      </c>
      <c r="P73" s="9" t="e">
        <f>P71+P70+P69+#REF!+#REF!+P67+P66+P65+P64+P63</f>
        <v>#REF!</v>
      </c>
      <c r="Q73" s="9" t="e">
        <f>Q71+Q70+Q69+#REF!+#REF!+Q67+Q66+Q65+Q64+Q63</f>
        <v>#REF!</v>
      </c>
      <c r="R73" s="9" t="e">
        <f>R71+R70+R69+#REF!+#REF!+R67+R66+R65+R64+R63</f>
        <v>#REF!</v>
      </c>
      <c r="S73" s="9" t="e">
        <f>S71+S70+S69+#REF!+#REF!+S67+S66+S65+S64+S63</f>
        <v>#REF!</v>
      </c>
      <c r="T73" s="9">
        <f>SUM(T63:T72)</f>
        <v>55920</v>
      </c>
      <c r="U73" s="9">
        <f>SUM(U63:U72)</f>
        <v>107480</v>
      </c>
    </row>
    <row r="74" spans="1:22">
      <c r="A74" s="1"/>
      <c r="B74" s="65"/>
      <c r="C74" s="65" t="s">
        <v>91</v>
      </c>
      <c r="D74" s="65"/>
      <c r="E74" s="89"/>
      <c r="F74" s="89"/>
      <c r="G74" s="7"/>
    </row>
    <row r="75" spans="1:22">
      <c r="A75" s="1"/>
      <c r="B75" s="65"/>
      <c r="C75" s="65"/>
      <c r="D75" s="65" t="s">
        <v>92</v>
      </c>
      <c r="E75" s="89"/>
      <c r="F75" s="89"/>
      <c r="G75" s="7"/>
    </row>
    <row r="76" spans="1:22">
      <c r="A76" s="1"/>
      <c r="B76" s="65"/>
      <c r="C76" s="65"/>
      <c r="D76" s="65"/>
      <c r="E76" s="89" t="s">
        <v>93</v>
      </c>
      <c r="F76" s="89"/>
      <c r="G76" s="7">
        <f>U76</f>
        <v>54200</v>
      </c>
      <c r="H76" s="9">
        <v>4500</v>
      </c>
      <c r="I76" s="9">
        <v>4500</v>
      </c>
      <c r="J76" s="9">
        <v>4500</v>
      </c>
      <c r="K76" s="9">
        <v>4700</v>
      </c>
      <c r="L76" s="9">
        <v>4500</v>
      </c>
      <c r="M76" s="9">
        <v>4500</v>
      </c>
      <c r="N76" s="9">
        <v>4500</v>
      </c>
      <c r="O76" s="9">
        <v>4500</v>
      </c>
      <c r="P76" s="9">
        <v>4500</v>
      </c>
      <c r="Q76" s="9">
        <v>4500</v>
      </c>
      <c r="R76" s="9">
        <v>4500</v>
      </c>
      <c r="S76" s="9">
        <v>4500</v>
      </c>
      <c r="T76" s="79">
        <v>79000</v>
      </c>
      <c r="U76" s="79">
        <f>SUM(H76:S76)</f>
        <v>54200</v>
      </c>
    </row>
    <row r="77" spans="1:22" s="75" customFormat="1">
      <c r="A77" s="1"/>
      <c r="B77" s="65"/>
      <c r="C77" s="65"/>
      <c r="D77" s="65"/>
      <c r="E77" s="89" t="s">
        <v>94</v>
      </c>
      <c r="F77" s="89"/>
      <c r="G77" s="73">
        <f t="shared" ref="G77:G85" si="14">U77</f>
        <v>0</v>
      </c>
      <c r="H77" s="74">
        <v>0</v>
      </c>
      <c r="I77" s="74">
        <v>0</v>
      </c>
      <c r="J77" s="74">
        <v>0</v>
      </c>
      <c r="K77" s="74">
        <v>0</v>
      </c>
      <c r="L77" s="74">
        <v>0</v>
      </c>
      <c r="M77" s="74">
        <v>0</v>
      </c>
      <c r="N77" s="74">
        <v>0</v>
      </c>
      <c r="O77" s="74">
        <v>0</v>
      </c>
      <c r="P77" s="74">
        <v>0</v>
      </c>
      <c r="Q77" s="74">
        <v>0</v>
      </c>
      <c r="R77" s="74">
        <v>0</v>
      </c>
      <c r="S77" s="74">
        <v>0</v>
      </c>
      <c r="T77" s="82">
        <v>20000</v>
      </c>
      <c r="U77" s="82">
        <f t="shared" ref="U77:U82" si="15">SUM(H77:S77)</f>
        <v>0</v>
      </c>
      <c r="V77" s="75" t="s">
        <v>95</v>
      </c>
    </row>
    <row r="78" spans="1:22">
      <c r="A78" s="1"/>
      <c r="B78" s="65"/>
      <c r="C78" s="65"/>
      <c r="D78" s="65" t="s">
        <v>96</v>
      </c>
      <c r="E78" s="89"/>
      <c r="F78" s="89"/>
      <c r="G78" s="7">
        <f t="shared" si="14"/>
        <v>54200</v>
      </c>
      <c r="H78" s="9">
        <f>SUM(H76:H77)</f>
        <v>4500</v>
      </c>
      <c r="I78" s="9">
        <f t="shared" ref="I78:S78" si="16">SUM(I76:I77)</f>
        <v>4500</v>
      </c>
      <c r="J78" s="9">
        <f t="shared" si="16"/>
        <v>4500</v>
      </c>
      <c r="K78" s="9">
        <f t="shared" si="16"/>
        <v>4700</v>
      </c>
      <c r="L78" s="9">
        <f t="shared" si="16"/>
        <v>4500</v>
      </c>
      <c r="M78" s="9">
        <f t="shared" si="16"/>
        <v>4500</v>
      </c>
      <c r="N78" s="9">
        <f t="shared" si="16"/>
        <v>4500</v>
      </c>
      <c r="O78" s="9">
        <f t="shared" si="16"/>
        <v>4500</v>
      </c>
      <c r="P78" s="9">
        <f t="shared" si="16"/>
        <v>4500</v>
      </c>
      <c r="Q78" s="9">
        <f t="shared" si="16"/>
        <v>4500</v>
      </c>
      <c r="R78" s="9">
        <f t="shared" si="16"/>
        <v>4500</v>
      </c>
      <c r="S78" s="9">
        <f t="shared" si="16"/>
        <v>4500</v>
      </c>
      <c r="T78" s="79">
        <f>SUM(T76:T77)</f>
        <v>99000</v>
      </c>
      <c r="U78" s="79">
        <f t="shared" si="15"/>
        <v>54200</v>
      </c>
    </row>
    <row r="79" spans="1:22">
      <c r="A79" s="1"/>
      <c r="B79" s="65"/>
      <c r="C79" s="65"/>
      <c r="D79" s="65" t="s">
        <v>97</v>
      </c>
      <c r="E79" s="89"/>
      <c r="F79" s="89"/>
      <c r="G79" s="7">
        <f t="shared" si="14"/>
        <v>54500</v>
      </c>
      <c r="H79" s="9">
        <v>4500</v>
      </c>
      <c r="I79" s="9">
        <v>3000</v>
      </c>
      <c r="J79" s="9">
        <v>3000</v>
      </c>
      <c r="K79" s="9">
        <v>24000</v>
      </c>
      <c r="L79" s="9">
        <v>2500</v>
      </c>
      <c r="M79" s="9">
        <v>2500</v>
      </c>
      <c r="N79" s="9">
        <v>2500</v>
      </c>
      <c r="O79" s="9">
        <v>2500</v>
      </c>
      <c r="P79" s="9">
        <v>2500</v>
      </c>
      <c r="Q79" s="9">
        <v>2500</v>
      </c>
      <c r="R79" s="9">
        <v>2500</v>
      </c>
      <c r="S79" s="9">
        <v>2500</v>
      </c>
      <c r="T79" s="79">
        <v>45000</v>
      </c>
      <c r="U79" s="79">
        <f t="shared" si="15"/>
        <v>54500</v>
      </c>
    </row>
    <row r="80" spans="1:22">
      <c r="A80" s="1"/>
      <c r="B80" s="65"/>
      <c r="C80" s="65"/>
      <c r="D80" s="65" t="s">
        <v>98</v>
      </c>
      <c r="E80" s="89"/>
      <c r="F80" s="89"/>
      <c r="G80" s="7">
        <f t="shared" si="14"/>
        <v>24000</v>
      </c>
      <c r="H80" s="9">
        <v>2000</v>
      </c>
      <c r="I80" s="9">
        <v>2000</v>
      </c>
      <c r="J80" s="9">
        <v>2000</v>
      </c>
      <c r="K80" s="9">
        <v>2000</v>
      </c>
      <c r="L80" s="9">
        <v>2000</v>
      </c>
      <c r="M80" s="9">
        <v>2000</v>
      </c>
      <c r="N80" s="9">
        <v>2000</v>
      </c>
      <c r="O80" s="9">
        <v>2000</v>
      </c>
      <c r="P80" s="9">
        <v>2000</v>
      </c>
      <c r="Q80" s="9">
        <v>2000</v>
      </c>
      <c r="R80" s="9">
        <v>2000</v>
      </c>
      <c r="S80" s="9">
        <v>2000</v>
      </c>
      <c r="T80" s="79">
        <v>24000</v>
      </c>
      <c r="U80" s="79">
        <f t="shared" si="15"/>
        <v>24000</v>
      </c>
    </row>
    <row r="81" spans="1:22">
      <c r="A81" s="1"/>
      <c r="B81" s="65"/>
      <c r="C81" s="65"/>
      <c r="D81" s="65" t="s">
        <v>99</v>
      </c>
      <c r="E81" s="89"/>
      <c r="F81" s="89"/>
      <c r="G81" s="7">
        <f t="shared" si="14"/>
        <v>20500</v>
      </c>
      <c r="H81" s="9">
        <v>3000</v>
      </c>
      <c r="I81" s="9">
        <v>3000</v>
      </c>
      <c r="J81" s="9">
        <v>3000</v>
      </c>
      <c r="K81" s="9">
        <v>2500</v>
      </c>
      <c r="L81" s="9">
        <v>2500</v>
      </c>
      <c r="M81" s="9">
        <v>1500</v>
      </c>
      <c r="N81" s="9">
        <v>1500</v>
      </c>
      <c r="O81" s="9">
        <v>1500</v>
      </c>
      <c r="P81" s="9">
        <v>500</v>
      </c>
      <c r="Q81" s="9">
        <v>500</v>
      </c>
      <c r="R81" s="9">
        <v>500</v>
      </c>
      <c r="S81" s="9">
        <v>500</v>
      </c>
      <c r="T81" s="79">
        <v>36000</v>
      </c>
      <c r="U81" s="79">
        <f t="shared" si="15"/>
        <v>20500</v>
      </c>
    </row>
    <row r="82" spans="1:22">
      <c r="A82" s="1"/>
      <c r="B82" s="65"/>
      <c r="C82" s="65"/>
      <c r="D82" s="65" t="s">
        <v>100</v>
      </c>
      <c r="E82" s="89"/>
      <c r="F82" s="89"/>
      <c r="G82" s="7">
        <f t="shared" si="14"/>
        <v>1200</v>
      </c>
      <c r="H82" s="9">
        <v>100</v>
      </c>
      <c r="I82" s="9">
        <v>100</v>
      </c>
      <c r="J82" s="9">
        <v>100</v>
      </c>
      <c r="K82" s="9">
        <v>100</v>
      </c>
      <c r="L82" s="9">
        <v>100</v>
      </c>
      <c r="M82" s="9">
        <v>100</v>
      </c>
      <c r="N82" s="9">
        <v>100</v>
      </c>
      <c r="O82" s="9">
        <v>100</v>
      </c>
      <c r="P82" s="9">
        <v>100</v>
      </c>
      <c r="Q82" s="9">
        <v>100</v>
      </c>
      <c r="R82" s="9">
        <v>100</v>
      </c>
      <c r="S82" s="9">
        <v>100</v>
      </c>
      <c r="T82" s="79">
        <v>0</v>
      </c>
      <c r="U82" s="79">
        <f t="shared" si="15"/>
        <v>1200</v>
      </c>
    </row>
    <row r="83" spans="1:22" s="70" customFormat="1">
      <c r="A83" s="67"/>
      <c r="B83" s="68"/>
      <c r="C83" s="68"/>
      <c r="D83" s="65" t="s">
        <v>101</v>
      </c>
      <c r="E83" s="65"/>
      <c r="F83" s="65"/>
      <c r="G83" s="73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82">
        <v>25000</v>
      </c>
      <c r="U83" s="80"/>
      <c r="V83" s="85" t="s">
        <v>102</v>
      </c>
    </row>
    <row r="84" spans="1:22">
      <c r="A84" s="1"/>
      <c r="B84" s="66"/>
      <c r="C84" s="66" t="s">
        <v>103</v>
      </c>
      <c r="D84" s="66"/>
      <c r="E84" s="90"/>
      <c r="F84" s="90"/>
      <c r="G84" s="7">
        <f t="shared" si="14"/>
        <v>154400</v>
      </c>
      <c r="H84" s="9">
        <f>SUM(H78:H82)</f>
        <v>14100</v>
      </c>
      <c r="I84" s="9">
        <f t="shared" ref="I84:S84" si="17">SUM(I78:I82)</f>
        <v>12600</v>
      </c>
      <c r="J84" s="9">
        <f t="shared" si="17"/>
        <v>12600</v>
      </c>
      <c r="K84" s="9">
        <f t="shared" si="17"/>
        <v>33300</v>
      </c>
      <c r="L84" s="9">
        <f t="shared" si="17"/>
        <v>11600</v>
      </c>
      <c r="M84" s="9">
        <f t="shared" si="17"/>
        <v>10600</v>
      </c>
      <c r="N84" s="9">
        <f t="shared" si="17"/>
        <v>10600</v>
      </c>
      <c r="O84" s="9">
        <f t="shared" si="17"/>
        <v>10600</v>
      </c>
      <c r="P84" s="9">
        <f t="shared" si="17"/>
        <v>9600</v>
      </c>
      <c r="Q84" s="9">
        <f t="shared" si="17"/>
        <v>9600</v>
      </c>
      <c r="R84" s="9">
        <f t="shared" si="17"/>
        <v>9600</v>
      </c>
      <c r="S84" s="9">
        <f t="shared" si="17"/>
        <v>9600</v>
      </c>
      <c r="T84" s="9">
        <f>T78+SUM(T79:T83)</f>
        <v>229000</v>
      </c>
      <c r="U84" s="9">
        <f>U78+SUM(U79:U83)</f>
        <v>154400</v>
      </c>
    </row>
    <row r="85" spans="1:22">
      <c r="A85" s="1"/>
      <c r="B85" s="66" t="s">
        <v>104</v>
      </c>
      <c r="C85" s="65"/>
      <c r="D85" s="65"/>
      <c r="E85" s="89"/>
      <c r="F85" s="89"/>
      <c r="G85" s="7">
        <f t="shared" si="14"/>
        <v>1073290</v>
      </c>
      <c r="H85" s="9" t="e">
        <f>#REF!+H84+H73+H61+H45+#REF!</f>
        <v>#REF!</v>
      </c>
      <c r="I85" s="9" t="e">
        <f>#REF!+I84+I73+I61+I45+#REF!</f>
        <v>#REF!</v>
      </c>
      <c r="J85" s="9" t="e">
        <f>#REF!+J84+J73+J61+J45+#REF!</f>
        <v>#REF!</v>
      </c>
      <c r="K85" s="9" t="e">
        <f>#REF!+K84+K73+K61+K45+#REF!</f>
        <v>#REF!</v>
      </c>
      <c r="L85" s="9" t="e">
        <f>#REF!+L84+L73+L61+L45+#REF!</f>
        <v>#REF!</v>
      </c>
      <c r="M85" s="9" t="e">
        <f>#REF!+M84+M73+M61+M45+#REF!</f>
        <v>#REF!</v>
      </c>
      <c r="N85" s="9" t="e">
        <f>#REF!+N84+N73+N61+N45+#REF!</f>
        <v>#REF!</v>
      </c>
      <c r="O85" s="9" t="e">
        <f>#REF!+O84+O73+O61+O45+#REF!</f>
        <v>#REF!</v>
      </c>
      <c r="P85" s="9" t="e">
        <f>#REF!+P84+P73+P61+P45+#REF!</f>
        <v>#REF!</v>
      </c>
      <c r="Q85" s="9" t="e">
        <f>#REF!+Q84+Q73+Q61+Q45+#REF!</f>
        <v>#REF!</v>
      </c>
      <c r="R85" s="9" t="e">
        <f>#REF!+R84+R73+R61+R45+#REF!</f>
        <v>#REF!</v>
      </c>
      <c r="S85" s="9" t="e">
        <f>#REF!+S84+S73+S61+S45+#REF!</f>
        <v>#REF!</v>
      </c>
      <c r="T85" s="9">
        <f>T45+T50+T61+T73+T84</f>
        <v>1395998.7821</v>
      </c>
      <c r="U85" s="9">
        <f>U45+U50+U61+U73+U84</f>
        <v>1073290</v>
      </c>
    </row>
    <row r="86" spans="1:22">
      <c r="A86" s="1"/>
      <c r="B86" s="1"/>
      <c r="C86" s="1"/>
      <c r="D86" s="1"/>
      <c r="E86" s="88"/>
      <c r="F86" s="88"/>
      <c r="G86" s="2"/>
      <c r="T86" s="72">
        <v>2026</v>
      </c>
      <c r="U86" s="72">
        <v>2025</v>
      </c>
    </row>
    <row r="87" spans="1:22">
      <c r="A87" s="1"/>
      <c r="B87" s="1"/>
      <c r="C87" s="1"/>
      <c r="D87" s="1"/>
      <c r="E87" s="88"/>
      <c r="F87" s="88"/>
      <c r="G87" s="11" t="s">
        <v>105</v>
      </c>
      <c r="H87" s="12" t="e">
        <f t="shared" ref="H87:U87" si="18">H26-H85</f>
        <v>#REF!</v>
      </c>
      <c r="I87" s="12" t="e">
        <f t="shared" si="18"/>
        <v>#REF!</v>
      </c>
      <c r="J87" s="12" t="e">
        <f t="shared" si="18"/>
        <v>#REF!</v>
      </c>
      <c r="K87" s="12" t="e">
        <f t="shared" si="18"/>
        <v>#REF!</v>
      </c>
      <c r="L87" s="12" t="e">
        <f t="shared" si="18"/>
        <v>#REF!</v>
      </c>
      <c r="M87" s="12" t="e">
        <f t="shared" si="18"/>
        <v>#REF!</v>
      </c>
      <c r="N87" s="12" t="e">
        <f t="shared" si="18"/>
        <v>#REF!</v>
      </c>
      <c r="O87" s="12" t="e">
        <f t="shared" si="18"/>
        <v>#REF!</v>
      </c>
      <c r="P87" s="12" t="e">
        <f t="shared" si="18"/>
        <v>#REF!</v>
      </c>
      <c r="Q87" s="12" t="e">
        <f t="shared" si="18"/>
        <v>#REF!</v>
      </c>
      <c r="R87" s="12" t="e">
        <f t="shared" si="18"/>
        <v>#REF!</v>
      </c>
      <c r="S87" s="12" t="e">
        <f t="shared" si="18"/>
        <v>#REF!</v>
      </c>
      <c r="T87" s="12">
        <f t="shared" si="18"/>
        <v>-45489.782099999953</v>
      </c>
      <c r="U87" s="12">
        <f t="shared" si="18"/>
        <v>-173290</v>
      </c>
    </row>
    <row r="88" spans="1:22">
      <c r="A88" s="1"/>
      <c r="B88" s="1"/>
      <c r="C88" s="1"/>
      <c r="D88" s="1"/>
      <c r="E88" s="88"/>
      <c r="F88" s="88"/>
      <c r="G88" s="2"/>
    </row>
    <row r="89" spans="1:22">
      <c r="A89" s="1"/>
      <c r="B89" s="1"/>
      <c r="C89" s="1"/>
      <c r="D89" s="1"/>
      <c r="E89" s="88"/>
      <c r="F89" s="88"/>
      <c r="G89" s="2" t="s">
        <v>106</v>
      </c>
      <c r="H89" s="10" t="e">
        <f>75000+H87</f>
        <v>#REF!</v>
      </c>
      <c r="I89" s="10" t="e">
        <f>H89+I87</f>
        <v>#REF!</v>
      </c>
      <c r="J89" s="10" t="e">
        <f t="shared" ref="J89:S89" si="19">I89+J87</f>
        <v>#REF!</v>
      </c>
      <c r="K89" s="10" t="e">
        <f t="shared" si="19"/>
        <v>#REF!</v>
      </c>
      <c r="L89" s="10" t="e">
        <f t="shared" si="19"/>
        <v>#REF!</v>
      </c>
      <c r="M89" s="10" t="e">
        <f t="shared" si="19"/>
        <v>#REF!</v>
      </c>
      <c r="N89" s="10" t="e">
        <f t="shared" si="19"/>
        <v>#REF!</v>
      </c>
      <c r="O89" s="10" t="e">
        <f t="shared" si="19"/>
        <v>#REF!</v>
      </c>
      <c r="P89" s="10" t="e">
        <f t="shared" si="19"/>
        <v>#REF!</v>
      </c>
      <c r="Q89" s="10" t="e">
        <f t="shared" si="19"/>
        <v>#REF!</v>
      </c>
      <c r="R89" s="10" t="e">
        <f t="shared" si="19"/>
        <v>#REF!</v>
      </c>
      <c r="S89" s="10" t="e">
        <f t="shared" si="19"/>
        <v>#REF!</v>
      </c>
      <c r="T89" s="10"/>
      <c r="U89" s="10"/>
    </row>
    <row r="90" spans="1:22">
      <c r="A90" s="1"/>
      <c r="B90" s="1"/>
      <c r="C90" s="1"/>
      <c r="D90" s="1"/>
      <c r="E90" s="88"/>
      <c r="F90" s="88"/>
      <c r="G90" s="2"/>
    </row>
    <row r="91" spans="1:22">
      <c r="A91" s="1"/>
      <c r="B91" s="1"/>
      <c r="C91" s="1"/>
      <c r="D91" s="1"/>
      <c r="E91" s="88"/>
      <c r="F91" s="88"/>
      <c r="G91" s="2"/>
    </row>
    <row r="92" spans="1:22">
      <c r="A92" s="1"/>
      <c r="B92" s="1"/>
      <c r="C92" s="1"/>
      <c r="D92" s="1"/>
      <c r="E92" s="88"/>
      <c r="F92" s="88"/>
      <c r="G92" s="2"/>
    </row>
    <row r="93" spans="1:22">
      <c r="A93" s="1"/>
      <c r="B93" s="1"/>
      <c r="C93" s="1"/>
      <c r="D93" s="1"/>
      <c r="E93" s="88"/>
      <c r="F93" s="88"/>
      <c r="G93" s="2"/>
    </row>
    <row r="94" spans="1:22">
      <c r="A94" s="1"/>
      <c r="B94" s="1"/>
      <c r="C94" s="1"/>
      <c r="D94" s="1"/>
      <c r="E94" s="88"/>
      <c r="F94" s="88"/>
      <c r="G94" s="2"/>
    </row>
    <row r="95" spans="1:22">
      <c r="A95" s="1"/>
      <c r="B95" s="1"/>
      <c r="C95" s="1"/>
      <c r="D95" s="1"/>
      <c r="E95" s="88"/>
      <c r="F95" s="88"/>
      <c r="G95" s="2"/>
    </row>
    <row r="96" spans="1:22">
      <c r="A96" s="1"/>
      <c r="B96" s="1"/>
      <c r="C96" s="1"/>
      <c r="D96" s="1"/>
      <c r="E96" s="88"/>
      <c r="F96" s="88"/>
      <c r="G96" s="2"/>
    </row>
    <row r="97" spans="1:21">
      <c r="A97" s="1"/>
      <c r="B97" s="1"/>
      <c r="C97" s="1"/>
      <c r="D97" s="1"/>
      <c r="E97" s="88"/>
      <c r="F97" s="88"/>
      <c r="G97" s="2"/>
    </row>
    <row r="98" spans="1:21">
      <c r="A98" s="1"/>
      <c r="B98" s="1"/>
      <c r="C98" s="1"/>
      <c r="D98" s="1"/>
      <c r="E98" s="88"/>
      <c r="F98" s="88"/>
      <c r="G98" s="2"/>
    </row>
    <row r="99" spans="1:21">
      <c r="A99" s="1"/>
      <c r="B99" s="1"/>
      <c r="C99" s="1"/>
      <c r="D99" s="1"/>
      <c r="E99" s="88"/>
      <c r="F99" s="88"/>
      <c r="G99" s="2"/>
    </row>
    <row r="100" spans="1:21">
      <c r="A100" s="1"/>
      <c r="B100" s="1"/>
      <c r="C100" s="1"/>
      <c r="D100" s="1"/>
      <c r="E100" s="88"/>
      <c r="F100" s="88"/>
      <c r="G100" s="2"/>
    </row>
    <row r="101" spans="1:21">
      <c r="A101" s="1"/>
      <c r="B101" s="1"/>
      <c r="C101" s="1"/>
      <c r="D101" s="1"/>
      <c r="E101" s="88"/>
      <c r="F101" s="88"/>
      <c r="G101" s="2"/>
    </row>
    <row r="102" spans="1:21">
      <c r="A102" s="2"/>
      <c r="B102" s="1"/>
      <c r="C102" s="1"/>
      <c r="D102" s="1"/>
      <c r="E102" s="88"/>
      <c r="F102" s="88"/>
      <c r="G102" s="2"/>
    </row>
    <row r="103" spans="1:21" s="8" customFormat="1">
      <c r="A103" s="2"/>
      <c r="B103" s="1"/>
      <c r="C103" s="1"/>
      <c r="D103" s="1"/>
      <c r="E103" s="88"/>
      <c r="F103" s="88"/>
      <c r="G103" s="2"/>
      <c r="U103"/>
    </row>
    <row r="104" spans="1:21" s="8" customFormat="1">
      <c r="A104" s="2"/>
      <c r="B104" s="1"/>
      <c r="C104" s="1"/>
      <c r="D104" s="1"/>
      <c r="E104" s="88"/>
      <c r="F104" s="88"/>
      <c r="G104" s="2"/>
      <c r="U104"/>
    </row>
    <row r="105" spans="1:21" s="8" customFormat="1">
      <c r="A105" s="2"/>
      <c r="B105" s="1"/>
      <c r="C105" s="1"/>
      <c r="D105" s="1"/>
      <c r="E105" s="88"/>
      <c r="F105" s="88"/>
      <c r="G105" s="2"/>
      <c r="U105"/>
    </row>
    <row r="106" spans="1:21" s="8" customFormat="1">
      <c r="A106" s="2"/>
      <c r="B106" s="1"/>
      <c r="C106" s="1"/>
      <c r="D106" s="1"/>
      <c r="E106" s="88"/>
      <c r="F106" s="88"/>
      <c r="G106" s="2"/>
      <c r="U106"/>
    </row>
    <row r="107" spans="1:21" s="8" customFormat="1">
      <c r="A107" s="2"/>
      <c r="B107" s="1"/>
      <c r="C107" s="1"/>
      <c r="D107" s="1"/>
      <c r="E107" s="88"/>
      <c r="F107" s="88"/>
      <c r="G107" s="2"/>
      <c r="U107"/>
    </row>
    <row r="108" spans="1:21" s="8" customFormat="1">
      <c r="A108" s="1"/>
      <c r="B108" s="1"/>
      <c r="C108" s="1"/>
      <c r="D108" s="1"/>
      <c r="E108" s="88"/>
      <c r="F108" s="88"/>
      <c r="G108" s="2"/>
      <c r="U108"/>
    </row>
  </sheetData>
  <mergeCells count="99">
    <mergeCell ref="E14:F14"/>
    <mergeCell ref="E1:F1"/>
    <mergeCell ref="B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27:F27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6:F26"/>
    <mergeCell ref="E38:F38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9:F39"/>
    <mergeCell ref="E40:F40"/>
    <mergeCell ref="E41:F41"/>
    <mergeCell ref="E42:F42"/>
    <mergeCell ref="E44:F44"/>
    <mergeCell ref="E45:F45"/>
    <mergeCell ref="E58:F58"/>
    <mergeCell ref="E59:F59"/>
    <mergeCell ref="E60:F60"/>
    <mergeCell ref="E61:F61"/>
    <mergeCell ref="E46:F46"/>
    <mergeCell ref="E47:F47"/>
    <mergeCell ref="E48:F48"/>
    <mergeCell ref="E49:F49"/>
    <mergeCell ref="E51:F51"/>
    <mergeCell ref="E62:F62"/>
    <mergeCell ref="E52:F52"/>
    <mergeCell ref="E53:F53"/>
    <mergeCell ref="E54:F54"/>
    <mergeCell ref="E55:F55"/>
    <mergeCell ref="E56:F56"/>
    <mergeCell ref="E57:F57"/>
    <mergeCell ref="E69:F69"/>
    <mergeCell ref="E70:F70"/>
    <mergeCell ref="E71:F71"/>
    <mergeCell ref="E73:F73"/>
    <mergeCell ref="E74:F74"/>
    <mergeCell ref="E63:F63"/>
    <mergeCell ref="E64:F64"/>
    <mergeCell ref="E65:F65"/>
    <mergeCell ref="E66:F66"/>
    <mergeCell ref="E67:F67"/>
    <mergeCell ref="E81:F81"/>
    <mergeCell ref="E82:F82"/>
    <mergeCell ref="E84:F84"/>
    <mergeCell ref="E75:F75"/>
    <mergeCell ref="E76:F76"/>
    <mergeCell ref="E77:F77"/>
    <mergeCell ref="E78:F78"/>
    <mergeCell ref="E79:F79"/>
    <mergeCell ref="E80:F80"/>
    <mergeCell ref="E96:F96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108:F108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"/>
  <sheetViews>
    <sheetView workbookViewId="0">
      <pane ySplit="6" topLeftCell="A19" activePane="bottomLeft" state="frozen"/>
      <selection pane="bottomLeft" activeCell="T22" sqref="T22"/>
    </sheetView>
  </sheetViews>
  <sheetFormatPr defaultColWidth="9.140625" defaultRowHeight="15"/>
  <cols>
    <col min="1" max="1" width="48" bestFit="1" customWidth="1"/>
    <col min="2" max="3" width="10.28515625" customWidth="1"/>
    <col min="4" max="4" width="9.42578125" customWidth="1"/>
    <col min="5" max="5" width="10.28515625" customWidth="1"/>
    <col min="6" max="6" width="9.42578125" customWidth="1"/>
    <col min="7" max="7" width="10.28515625" customWidth="1"/>
    <col min="8" max="8" width="9.42578125" customWidth="1"/>
    <col min="9" max="10" width="11.28515625" customWidth="1"/>
    <col min="11" max="11" width="10.28515625" customWidth="1"/>
    <col min="12" max="17" width="11.28515625" customWidth="1"/>
    <col min="18" max="18" width="9.42578125" customWidth="1"/>
    <col min="19" max="19" width="10.28515625" customWidth="1"/>
    <col min="20" max="20" width="11.28515625" customWidth="1"/>
    <col min="21" max="21" width="10.28515625" customWidth="1"/>
    <col min="22" max="22" width="12.85546875" style="48" bestFit="1" customWidth="1"/>
    <col min="23" max="23" width="13" style="49" customWidth="1"/>
    <col min="24" max="24" width="4.7109375" customWidth="1"/>
  </cols>
  <sheetData>
    <row r="1" spans="1:38" ht="18">
      <c r="A1" s="98" t="s">
        <v>107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</row>
    <row r="2" spans="1:38" ht="18">
      <c r="A2" s="98" t="s">
        <v>108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</row>
    <row r="3" spans="1:38">
      <c r="A3" s="99" t="s">
        <v>109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</row>
    <row r="5" spans="1:38">
      <c r="A5" s="13"/>
      <c r="B5" s="100" t="s">
        <v>110</v>
      </c>
      <c r="C5" s="101"/>
      <c r="D5" s="100" t="s">
        <v>111</v>
      </c>
      <c r="E5" s="101"/>
      <c r="F5" s="100" t="s">
        <v>112</v>
      </c>
      <c r="G5" s="101"/>
      <c r="H5" s="100" t="s">
        <v>113</v>
      </c>
      <c r="I5" s="101"/>
      <c r="J5" s="100" t="s">
        <v>114</v>
      </c>
      <c r="K5" s="101"/>
      <c r="L5" s="100" t="s">
        <v>115</v>
      </c>
      <c r="M5" s="101"/>
      <c r="N5" s="100" t="s">
        <v>116</v>
      </c>
      <c r="O5" s="101"/>
      <c r="P5" s="100" t="s">
        <v>117</v>
      </c>
      <c r="Q5" s="101"/>
      <c r="R5" s="100" t="s">
        <v>118</v>
      </c>
      <c r="S5" s="101"/>
      <c r="T5" s="100" t="s">
        <v>119</v>
      </c>
      <c r="U5" s="101"/>
      <c r="V5" s="100" t="s">
        <v>120</v>
      </c>
      <c r="W5" s="101"/>
    </row>
    <row r="6" spans="1:38">
      <c r="A6" s="13"/>
      <c r="B6" s="14" t="s">
        <v>121</v>
      </c>
      <c r="C6" s="14" t="s">
        <v>122</v>
      </c>
      <c r="D6" s="14" t="s">
        <v>121</v>
      </c>
      <c r="E6" s="14" t="s">
        <v>122</v>
      </c>
      <c r="F6" s="14" t="s">
        <v>121</v>
      </c>
      <c r="G6" s="14" t="s">
        <v>122</v>
      </c>
      <c r="H6" s="14" t="s">
        <v>121</v>
      </c>
      <c r="I6" s="14" t="s">
        <v>122</v>
      </c>
      <c r="J6" s="14" t="s">
        <v>121</v>
      </c>
      <c r="K6" s="14" t="s">
        <v>122</v>
      </c>
      <c r="L6" s="14" t="s">
        <v>121</v>
      </c>
      <c r="M6" s="14" t="s">
        <v>122</v>
      </c>
      <c r="N6" s="14" t="s">
        <v>121</v>
      </c>
      <c r="O6" s="14" t="s">
        <v>122</v>
      </c>
      <c r="P6" s="14" t="s">
        <v>121</v>
      </c>
      <c r="Q6" s="14" t="s">
        <v>122</v>
      </c>
      <c r="R6" s="14" t="s">
        <v>121</v>
      </c>
      <c r="S6" s="14" t="s">
        <v>122</v>
      </c>
      <c r="T6" s="14" t="s">
        <v>121</v>
      </c>
      <c r="U6" s="14" t="s">
        <v>122</v>
      </c>
      <c r="V6" s="15" t="s">
        <v>121</v>
      </c>
      <c r="W6" s="16" t="s">
        <v>122</v>
      </c>
    </row>
    <row r="7" spans="1:38">
      <c r="A7" s="17" t="s">
        <v>123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9"/>
      <c r="W7" s="20"/>
      <c r="Y7" s="21" t="s">
        <v>124</v>
      </c>
    </row>
    <row r="8" spans="1:38">
      <c r="A8" s="22" t="s">
        <v>125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23">
        <f t="shared" ref="V8:W30" si="0">(((((((((B8)+(D8))+(F8))+(H8))+(J8))+(L8))+(N8))+(P8))+(R8))+(T8)</f>
        <v>0</v>
      </c>
      <c r="W8" s="24">
        <f t="shared" si="0"/>
        <v>0</v>
      </c>
      <c r="Y8" t="s">
        <v>126</v>
      </c>
      <c r="AL8" t="s">
        <v>127</v>
      </c>
    </row>
    <row r="9" spans="1:38">
      <c r="A9" s="22" t="s">
        <v>128</v>
      </c>
      <c r="B9" s="25">
        <f>357.26</f>
        <v>357.26</v>
      </c>
      <c r="C9" s="25">
        <f>30000</f>
        <v>30000</v>
      </c>
      <c r="D9" s="25"/>
      <c r="E9" s="25">
        <f>30000</f>
        <v>30000</v>
      </c>
      <c r="F9" s="25">
        <f>16318.02</f>
        <v>16318.02</v>
      </c>
      <c r="G9" s="25">
        <f>30000</f>
        <v>30000</v>
      </c>
      <c r="H9" s="25">
        <f>15939.44</f>
        <v>15939.44</v>
      </c>
      <c r="I9" s="25">
        <f>30000</f>
        <v>30000</v>
      </c>
      <c r="J9" s="25">
        <f>15481.33</f>
        <v>15481.33</v>
      </c>
      <c r="K9" s="25">
        <f>30000</f>
        <v>30000</v>
      </c>
      <c r="L9" s="25">
        <f>16235.91</f>
        <v>16235.91</v>
      </c>
      <c r="M9" s="25">
        <f>30000</f>
        <v>30000</v>
      </c>
      <c r="N9" s="25">
        <f>14100.69</f>
        <v>14100.69</v>
      </c>
      <c r="O9" s="25">
        <f>30000</f>
        <v>30000</v>
      </c>
      <c r="P9" s="25">
        <f>13963.28</f>
        <v>13963.28</v>
      </c>
      <c r="Q9" s="25">
        <f>30000</f>
        <v>30000</v>
      </c>
      <c r="R9" s="25">
        <f>13652.44</f>
        <v>13652.44</v>
      </c>
      <c r="S9" s="25">
        <f>30000</f>
        <v>30000</v>
      </c>
      <c r="T9" s="18"/>
      <c r="U9" s="25">
        <f>30000</f>
        <v>30000</v>
      </c>
      <c r="V9" s="23">
        <f t="shared" si="0"/>
        <v>106048.37000000001</v>
      </c>
      <c r="W9" s="24">
        <f t="shared" si="0"/>
        <v>300000</v>
      </c>
      <c r="Y9" t="s">
        <v>129</v>
      </c>
      <c r="AL9" t="s">
        <v>130</v>
      </c>
    </row>
    <row r="10" spans="1:38">
      <c r="A10" s="22" t="s">
        <v>131</v>
      </c>
      <c r="B10" s="25">
        <f>4498</f>
        <v>4498</v>
      </c>
      <c r="C10" s="25">
        <f>15000</f>
        <v>15000</v>
      </c>
      <c r="D10" s="25">
        <f>3853.8</f>
        <v>3853.8</v>
      </c>
      <c r="E10" s="25">
        <f>15000</f>
        <v>15000</v>
      </c>
      <c r="F10" s="25">
        <f>20473.83</f>
        <v>20473.830000000002</v>
      </c>
      <c r="G10" s="25">
        <f>15000</f>
        <v>15000</v>
      </c>
      <c r="H10" s="25">
        <f>14571.54</f>
        <v>14571.54</v>
      </c>
      <c r="I10" s="25">
        <f>15000</f>
        <v>15000</v>
      </c>
      <c r="J10" s="25">
        <f>16711.87</f>
        <v>16711.87</v>
      </c>
      <c r="K10" s="25">
        <f>15000</f>
        <v>15000</v>
      </c>
      <c r="L10" s="25">
        <f>15500.08</f>
        <v>15500.08</v>
      </c>
      <c r="M10" s="25">
        <f>15000</f>
        <v>15000</v>
      </c>
      <c r="N10" s="25">
        <f>12794.12</f>
        <v>12794.12</v>
      </c>
      <c r="O10" s="25">
        <f>15000</f>
        <v>15000</v>
      </c>
      <c r="P10" s="25">
        <f>3394.23</f>
        <v>3394.23</v>
      </c>
      <c r="Q10" s="25">
        <f>15000</f>
        <v>15000</v>
      </c>
      <c r="R10" s="25">
        <f>1884.54</f>
        <v>1884.54</v>
      </c>
      <c r="S10" s="25">
        <f>15000</f>
        <v>15000</v>
      </c>
      <c r="T10" s="18"/>
      <c r="U10" s="25">
        <f>15000</f>
        <v>15000</v>
      </c>
      <c r="V10" s="23">
        <f t="shared" si="0"/>
        <v>93682.00999999998</v>
      </c>
      <c r="W10" s="24">
        <f t="shared" si="0"/>
        <v>150000</v>
      </c>
    </row>
    <row r="11" spans="1:38">
      <c r="A11" s="22" t="s">
        <v>132</v>
      </c>
      <c r="B11" s="25">
        <f>59444.23</f>
        <v>59444.23</v>
      </c>
      <c r="C11" s="25">
        <f>25000</f>
        <v>25000</v>
      </c>
      <c r="D11" s="25">
        <f>48573.83</f>
        <v>48573.83</v>
      </c>
      <c r="E11" s="25">
        <f>25000</f>
        <v>25000</v>
      </c>
      <c r="F11" s="25">
        <f>22860.28</f>
        <v>22860.28</v>
      </c>
      <c r="G11" s="25">
        <f>25000</f>
        <v>25000</v>
      </c>
      <c r="H11" s="25">
        <f>23448.97</f>
        <v>23448.97</v>
      </c>
      <c r="I11" s="25">
        <f>25000</f>
        <v>25000</v>
      </c>
      <c r="J11" s="25">
        <f>24598.46</f>
        <v>24598.46</v>
      </c>
      <c r="K11" s="25">
        <f>25000</f>
        <v>25000</v>
      </c>
      <c r="L11" s="25">
        <f>13838.7</f>
        <v>13838.7</v>
      </c>
      <c r="M11" s="25">
        <f>25000</f>
        <v>25000</v>
      </c>
      <c r="N11" s="25">
        <f>15066.19</f>
        <v>15066.19</v>
      </c>
      <c r="O11" s="25">
        <f>25000</f>
        <v>25000</v>
      </c>
      <c r="P11" s="25">
        <f>68656.74</f>
        <v>68656.740000000005</v>
      </c>
      <c r="Q11" s="25">
        <f>25000</f>
        <v>25000</v>
      </c>
      <c r="R11" s="25">
        <f>63559.79</f>
        <v>63559.79</v>
      </c>
      <c r="S11" s="25">
        <f>25000</f>
        <v>25000</v>
      </c>
      <c r="T11" s="18"/>
      <c r="U11" s="25">
        <f>25000</f>
        <v>25000</v>
      </c>
      <c r="V11" s="23">
        <f t="shared" si="0"/>
        <v>340047.19</v>
      </c>
      <c r="W11" s="24">
        <f t="shared" si="0"/>
        <v>250000</v>
      </c>
    </row>
    <row r="12" spans="1:38">
      <c r="A12" s="22" t="s">
        <v>133</v>
      </c>
      <c r="B12" s="25"/>
      <c r="C12" s="25">
        <f>2500</f>
        <v>2500</v>
      </c>
      <c r="D12" s="25">
        <f>26.03</f>
        <v>26.03</v>
      </c>
      <c r="E12" s="25">
        <f>2500</f>
        <v>2500</v>
      </c>
      <c r="F12" s="25">
        <f>81.73</f>
        <v>81.73</v>
      </c>
      <c r="G12" s="25">
        <f>2500</f>
        <v>2500</v>
      </c>
      <c r="H12" s="25">
        <f>81.73</f>
        <v>81.73</v>
      </c>
      <c r="I12" s="25">
        <f>2500</f>
        <v>2500</v>
      </c>
      <c r="J12" s="25">
        <f>581.73</f>
        <v>581.73</v>
      </c>
      <c r="K12" s="25">
        <f>2500</f>
        <v>2500</v>
      </c>
      <c r="L12" s="25">
        <f>56.73</f>
        <v>56.73</v>
      </c>
      <c r="M12" s="25">
        <f>2500</f>
        <v>2500</v>
      </c>
      <c r="N12" s="25">
        <f>56.73</f>
        <v>56.73</v>
      </c>
      <c r="O12" s="25">
        <f>2500</f>
        <v>2500</v>
      </c>
      <c r="P12" s="25">
        <f>387.12</f>
        <v>387.12</v>
      </c>
      <c r="Q12" s="25">
        <f>2500</f>
        <v>2500</v>
      </c>
      <c r="R12" s="25">
        <f>106.73</f>
        <v>106.73</v>
      </c>
      <c r="S12" s="25">
        <f>2500</f>
        <v>2500</v>
      </c>
      <c r="T12" s="18"/>
      <c r="U12" s="25">
        <f>2500</f>
        <v>2500</v>
      </c>
      <c r="V12" s="23">
        <f t="shared" si="0"/>
        <v>1378.5300000000002</v>
      </c>
      <c r="W12" s="24">
        <f t="shared" si="0"/>
        <v>25000</v>
      </c>
    </row>
    <row r="13" spans="1:38">
      <c r="A13" s="22" t="s">
        <v>134</v>
      </c>
      <c r="B13" s="25">
        <f>253.02</f>
        <v>253.02</v>
      </c>
      <c r="C13" s="25">
        <f>2500</f>
        <v>2500</v>
      </c>
      <c r="D13" s="25">
        <f>82.92</f>
        <v>82.92</v>
      </c>
      <c r="E13" s="25">
        <f>2500</f>
        <v>2500</v>
      </c>
      <c r="F13" s="25">
        <f>176.95</f>
        <v>176.95</v>
      </c>
      <c r="G13" s="25">
        <f>2500</f>
        <v>2500</v>
      </c>
      <c r="H13" s="25">
        <f>171.8</f>
        <v>171.8</v>
      </c>
      <c r="I13" s="25">
        <f>2500</f>
        <v>2500</v>
      </c>
      <c r="J13" s="25">
        <f>171.8</f>
        <v>171.8</v>
      </c>
      <c r="K13" s="25">
        <f>2500</f>
        <v>2500</v>
      </c>
      <c r="L13" s="25">
        <f>213.26</f>
        <v>213.26</v>
      </c>
      <c r="M13" s="25">
        <f>2500</f>
        <v>2500</v>
      </c>
      <c r="N13" s="25">
        <f>171.8</f>
        <v>171.8</v>
      </c>
      <c r="O13" s="25">
        <f>2500</f>
        <v>2500</v>
      </c>
      <c r="P13" s="25">
        <f>196.8</f>
        <v>196.8</v>
      </c>
      <c r="Q13" s="25">
        <f>2500</f>
        <v>2500</v>
      </c>
      <c r="R13" s="25">
        <f>166.95</f>
        <v>166.95</v>
      </c>
      <c r="S13" s="25">
        <f>2500</f>
        <v>2500</v>
      </c>
      <c r="T13" s="18"/>
      <c r="U13" s="25">
        <f>2500</f>
        <v>2500</v>
      </c>
      <c r="V13" s="23">
        <f t="shared" si="0"/>
        <v>1605.3</v>
      </c>
      <c r="W13" s="24">
        <f t="shared" si="0"/>
        <v>25000</v>
      </c>
    </row>
    <row r="14" spans="1:38">
      <c r="A14" s="22" t="s">
        <v>135</v>
      </c>
      <c r="B14" s="18"/>
      <c r="C14" s="18"/>
      <c r="D14" s="18"/>
      <c r="E14" s="18"/>
      <c r="F14" s="25">
        <f>21.63</f>
        <v>21.63</v>
      </c>
      <c r="G14" s="18"/>
      <c r="H14" s="25">
        <f>21.63</f>
        <v>21.63</v>
      </c>
      <c r="I14" s="18"/>
      <c r="J14" s="25">
        <f>21.63</f>
        <v>21.63</v>
      </c>
      <c r="K14" s="18"/>
      <c r="L14" s="25">
        <f>21.63</f>
        <v>21.63</v>
      </c>
      <c r="M14" s="18"/>
      <c r="N14" s="25">
        <f>21.63</f>
        <v>21.63</v>
      </c>
      <c r="O14" s="18"/>
      <c r="P14" s="25">
        <f>21.63</f>
        <v>21.63</v>
      </c>
      <c r="Q14" s="18"/>
      <c r="R14" s="25">
        <f>21.63</f>
        <v>21.63</v>
      </c>
      <c r="S14" s="18"/>
      <c r="T14" s="18"/>
      <c r="U14" s="18"/>
      <c r="V14" s="23">
        <f t="shared" si="0"/>
        <v>151.41</v>
      </c>
      <c r="W14" s="24">
        <f t="shared" si="0"/>
        <v>0</v>
      </c>
    </row>
    <row r="15" spans="1:38">
      <c r="A15" s="22" t="s">
        <v>136</v>
      </c>
      <c r="B15" s="25"/>
      <c r="C15" s="18"/>
      <c r="D15" s="25"/>
      <c r="E15" s="18"/>
      <c r="F15" s="25">
        <f>5</f>
        <v>5</v>
      </c>
      <c r="G15" s="18"/>
      <c r="H15" s="25">
        <f>0</f>
        <v>0</v>
      </c>
      <c r="I15" s="18"/>
      <c r="J15" s="25">
        <f>0</f>
        <v>0</v>
      </c>
      <c r="K15" s="18"/>
      <c r="L15" s="25">
        <f>0</f>
        <v>0</v>
      </c>
      <c r="M15" s="18"/>
      <c r="N15" s="25">
        <f>0</f>
        <v>0</v>
      </c>
      <c r="O15" s="18"/>
      <c r="P15" s="25">
        <f>0</f>
        <v>0</v>
      </c>
      <c r="Q15" s="18"/>
      <c r="R15" s="25">
        <f>0</f>
        <v>0</v>
      </c>
      <c r="S15" s="18"/>
      <c r="T15" s="18"/>
      <c r="U15" s="18"/>
      <c r="V15" s="23">
        <f t="shared" si="0"/>
        <v>5</v>
      </c>
      <c r="W15" s="24">
        <f t="shared" si="0"/>
        <v>0</v>
      </c>
    </row>
    <row r="16" spans="1:38">
      <c r="A16" s="22" t="s">
        <v>137</v>
      </c>
      <c r="B16" s="26">
        <f t="shared" ref="B16:U16" si="1">(((((((B8)+(B9))+(B10))+(B11))+(B12))+(B13))+(B14))+(B15)</f>
        <v>64552.51</v>
      </c>
      <c r="C16" s="26">
        <f t="shared" si="1"/>
        <v>75000</v>
      </c>
      <c r="D16" s="26">
        <f t="shared" si="1"/>
        <v>52536.58</v>
      </c>
      <c r="E16" s="26">
        <f t="shared" si="1"/>
        <v>75000</v>
      </c>
      <c r="F16" s="26">
        <f t="shared" si="1"/>
        <v>59937.440000000002</v>
      </c>
      <c r="G16" s="26">
        <f t="shared" si="1"/>
        <v>75000</v>
      </c>
      <c r="H16" s="26">
        <f t="shared" si="1"/>
        <v>54235.110000000008</v>
      </c>
      <c r="I16" s="26">
        <f t="shared" si="1"/>
        <v>75000</v>
      </c>
      <c r="J16" s="26">
        <f t="shared" si="1"/>
        <v>57566.82</v>
      </c>
      <c r="K16" s="26">
        <f t="shared" si="1"/>
        <v>75000</v>
      </c>
      <c r="L16" s="26">
        <f t="shared" si="1"/>
        <v>45866.310000000005</v>
      </c>
      <c r="M16" s="26">
        <f t="shared" si="1"/>
        <v>75000</v>
      </c>
      <c r="N16" s="26">
        <f t="shared" si="1"/>
        <v>42211.16</v>
      </c>
      <c r="O16" s="26">
        <f t="shared" si="1"/>
        <v>75000</v>
      </c>
      <c r="P16" s="26">
        <f t="shared" si="1"/>
        <v>86619.8</v>
      </c>
      <c r="Q16" s="26">
        <f t="shared" si="1"/>
        <v>75000</v>
      </c>
      <c r="R16" s="26">
        <f t="shared" si="1"/>
        <v>79392.08</v>
      </c>
      <c r="S16" s="26">
        <f t="shared" si="1"/>
        <v>75000</v>
      </c>
      <c r="T16" s="26">
        <f t="shared" si="1"/>
        <v>0</v>
      </c>
      <c r="U16" s="26">
        <f t="shared" si="1"/>
        <v>75000</v>
      </c>
      <c r="V16" s="27">
        <f t="shared" si="0"/>
        <v>542917.81000000006</v>
      </c>
      <c r="W16" s="28">
        <f t="shared" si="0"/>
        <v>750000</v>
      </c>
    </row>
    <row r="17" spans="1:25">
      <c r="A17" s="22" t="s">
        <v>138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23">
        <f t="shared" si="0"/>
        <v>0</v>
      </c>
      <c r="W17" s="24">
        <f t="shared" si="0"/>
        <v>0</v>
      </c>
    </row>
    <row r="18" spans="1:25">
      <c r="A18" s="22" t="s">
        <v>139</v>
      </c>
      <c r="B18" s="25"/>
      <c r="C18" s="18"/>
      <c r="D18" s="25"/>
      <c r="E18" s="18"/>
      <c r="F18" s="25">
        <f>130.9</f>
        <v>130.9</v>
      </c>
      <c r="G18" s="18"/>
      <c r="H18" s="25">
        <f>130.9</f>
        <v>130.9</v>
      </c>
      <c r="I18" s="18"/>
      <c r="J18" s="25">
        <f>130.9</f>
        <v>130.9</v>
      </c>
      <c r="K18" s="18"/>
      <c r="L18" s="25">
        <f>130.9</f>
        <v>130.9</v>
      </c>
      <c r="M18" s="18"/>
      <c r="N18" s="25">
        <f>130.9</f>
        <v>130.9</v>
      </c>
      <c r="O18" s="18"/>
      <c r="P18" s="25">
        <f>130.9</f>
        <v>130.9</v>
      </c>
      <c r="Q18" s="18"/>
      <c r="R18" s="25">
        <f>125.75</f>
        <v>125.75</v>
      </c>
      <c r="S18" s="18"/>
      <c r="T18" s="18"/>
      <c r="U18" s="18"/>
      <c r="V18" s="23">
        <f t="shared" si="0"/>
        <v>911.15</v>
      </c>
      <c r="W18" s="24">
        <f t="shared" si="0"/>
        <v>0</v>
      </c>
      <c r="Y18" t="s">
        <v>140</v>
      </c>
    </row>
    <row r="19" spans="1:25">
      <c r="A19" s="22" t="s">
        <v>141</v>
      </c>
      <c r="B19" s="25">
        <f>0</f>
        <v>0</v>
      </c>
      <c r="C19" s="18"/>
      <c r="D19" s="25">
        <f>0</f>
        <v>0</v>
      </c>
      <c r="E19" s="18"/>
      <c r="F19" s="25">
        <f>80.6</f>
        <v>80.599999999999994</v>
      </c>
      <c r="G19" s="18"/>
      <c r="H19" s="25">
        <f>45.3</f>
        <v>45.3</v>
      </c>
      <c r="I19" s="18"/>
      <c r="J19" s="25">
        <f>45.3</f>
        <v>45.3</v>
      </c>
      <c r="K19" s="18"/>
      <c r="L19" s="25">
        <f>45.3</f>
        <v>45.3</v>
      </c>
      <c r="M19" s="18"/>
      <c r="N19" s="25">
        <f>45.3</f>
        <v>45.3</v>
      </c>
      <c r="O19" s="18"/>
      <c r="P19" s="25">
        <f>80.3</f>
        <v>80.3</v>
      </c>
      <c r="Q19" s="18"/>
      <c r="R19" s="25">
        <f>45.3</f>
        <v>45.3</v>
      </c>
      <c r="S19" s="18"/>
      <c r="T19" s="18"/>
      <c r="U19" s="18"/>
      <c r="V19" s="23">
        <f t="shared" si="0"/>
        <v>387.40000000000003</v>
      </c>
      <c r="W19" s="24">
        <f t="shared" si="0"/>
        <v>0</v>
      </c>
    </row>
    <row r="20" spans="1:25">
      <c r="A20" s="22" t="s">
        <v>142</v>
      </c>
      <c r="B20" s="26">
        <f t="shared" ref="B20:U20" si="2">((B17)+(B18))+(B19)</f>
        <v>0</v>
      </c>
      <c r="C20" s="26">
        <f t="shared" si="2"/>
        <v>0</v>
      </c>
      <c r="D20" s="26">
        <f t="shared" si="2"/>
        <v>0</v>
      </c>
      <c r="E20" s="26">
        <f t="shared" si="2"/>
        <v>0</v>
      </c>
      <c r="F20" s="26">
        <f t="shared" si="2"/>
        <v>211.5</v>
      </c>
      <c r="G20" s="26">
        <f t="shared" si="2"/>
        <v>0</v>
      </c>
      <c r="H20" s="26">
        <f t="shared" si="2"/>
        <v>176.2</v>
      </c>
      <c r="I20" s="26">
        <f t="shared" si="2"/>
        <v>0</v>
      </c>
      <c r="J20" s="26">
        <f t="shared" si="2"/>
        <v>176.2</v>
      </c>
      <c r="K20" s="26">
        <f t="shared" si="2"/>
        <v>0</v>
      </c>
      <c r="L20" s="26">
        <f t="shared" si="2"/>
        <v>176.2</v>
      </c>
      <c r="M20" s="26">
        <f t="shared" si="2"/>
        <v>0</v>
      </c>
      <c r="N20" s="26">
        <f t="shared" si="2"/>
        <v>176.2</v>
      </c>
      <c r="O20" s="26">
        <f t="shared" si="2"/>
        <v>0</v>
      </c>
      <c r="P20" s="26">
        <f t="shared" si="2"/>
        <v>211.2</v>
      </c>
      <c r="Q20" s="26">
        <f t="shared" si="2"/>
        <v>0</v>
      </c>
      <c r="R20" s="26">
        <f t="shared" si="2"/>
        <v>171.05</v>
      </c>
      <c r="S20" s="26">
        <f t="shared" si="2"/>
        <v>0</v>
      </c>
      <c r="T20" s="26">
        <f t="shared" si="2"/>
        <v>0</v>
      </c>
      <c r="U20" s="26">
        <f t="shared" si="2"/>
        <v>0</v>
      </c>
      <c r="V20" s="27">
        <f t="shared" si="0"/>
        <v>1298.55</v>
      </c>
      <c r="W20" s="28">
        <f t="shared" si="0"/>
        <v>0</v>
      </c>
    </row>
    <row r="21" spans="1:25">
      <c r="A21" s="22" t="s">
        <v>143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23">
        <f t="shared" si="0"/>
        <v>0</v>
      </c>
      <c r="W21" s="24">
        <f t="shared" si="0"/>
        <v>0</v>
      </c>
    </row>
    <row r="22" spans="1:25">
      <c r="A22" s="22" t="s">
        <v>144</v>
      </c>
      <c r="B22" s="25">
        <f>65.37</f>
        <v>65.37</v>
      </c>
      <c r="C22" s="18"/>
      <c r="D22" s="25">
        <f>54.98</f>
        <v>54.98</v>
      </c>
      <c r="E22" s="18"/>
      <c r="F22" s="25">
        <f>0.14</f>
        <v>0.14000000000000001</v>
      </c>
      <c r="G22" s="18"/>
      <c r="H22" s="25">
        <f>0.1</f>
        <v>0.1</v>
      </c>
      <c r="I22" s="18"/>
      <c r="J22" s="25">
        <f>0.08</f>
        <v>0.08</v>
      </c>
      <c r="K22" s="18"/>
      <c r="L22" s="25">
        <f>0.04</f>
        <v>0.04</v>
      </c>
      <c r="M22" s="18"/>
      <c r="N22" s="25">
        <f>1033.64</f>
        <v>1033.6400000000001</v>
      </c>
      <c r="O22" s="18"/>
      <c r="P22" s="25">
        <f>2214.39</f>
        <v>2214.39</v>
      </c>
      <c r="Q22" s="18"/>
      <c r="R22" s="25">
        <f>3223.37</f>
        <v>3223.37</v>
      </c>
      <c r="S22" s="18"/>
      <c r="T22" s="25">
        <f>3008.91</f>
        <v>3008.91</v>
      </c>
      <c r="U22" s="18"/>
      <c r="V22" s="23">
        <f t="shared" si="0"/>
        <v>9601.02</v>
      </c>
      <c r="W22" s="24">
        <f t="shared" si="0"/>
        <v>0</v>
      </c>
      <c r="Y22" t="s">
        <v>145</v>
      </c>
    </row>
    <row r="23" spans="1:25">
      <c r="A23" s="22" t="s">
        <v>146</v>
      </c>
      <c r="B23" s="18"/>
      <c r="C23" s="18"/>
      <c r="D23" s="18"/>
      <c r="E23" s="18"/>
      <c r="F23" s="18"/>
      <c r="G23" s="18"/>
      <c r="H23" s="18"/>
      <c r="I23" s="18"/>
      <c r="J23" s="25">
        <f>4610.86</f>
        <v>4610.8599999999997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23">
        <f t="shared" si="0"/>
        <v>4610.8599999999997</v>
      </c>
      <c r="W23" s="24">
        <f t="shared" si="0"/>
        <v>0</v>
      </c>
      <c r="Y23" t="s">
        <v>147</v>
      </c>
    </row>
    <row r="24" spans="1:25">
      <c r="A24" s="22" t="s">
        <v>148</v>
      </c>
      <c r="B24" s="26">
        <f t="shared" ref="B24:U24" si="3">((B21)+(B22))+(B23)</f>
        <v>65.37</v>
      </c>
      <c r="C24" s="26">
        <f t="shared" si="3"/>
        <v>0</v>
      </c>
      <c r="D24" s="26">
        <f t="shared" si="3"/>
        <v>54.98</v>
      </c>
      <c r="E24" s="26">
        <f t="shared" si="3"/>
        <v>0</v>
      </c>
      <c r="F24" s="26">
        <f t="shared" si="3"/>
        <v>0.14000000000000001</v>
      </c>
      <c r="G24" s="26">
        <f t="shared" si="3"/>
        <v>0</v>
      </c>
      <c r="H24" s="26">
        <f t="shared" si="3"/>
        <v>0.1</v>
      </c>
      <c r="I24" s="26">
        <f t="shared" si="3"/>
        <v>0</v>
      </c>
      <c r="J24" s="26">
        <f t="shared" si="3"/>
        <v>4610.9399999999996</v>
      </c>
      <c r="K24" s="26">
        <f t="shared" si="3"/>
        <v>0</v>
      </c>
      <c r="L24" s="26">
        <f t="shared" si="3"/>
        <v>0.04</v>
      </c>
      <c r="M24" s="26">
        <f t="shared" si="3"/>
        <v>0</v>
      </c>
      <c r="N24" s="26">
        <f t="shared" si="3"/>
        <v>1033.6400000000001</v>
      </c>
      <c r="O24" s="26">
        <f t="shared" si="3"/>
        <v>0</v>
      </c>
      <c r="P24" s="26">
        <f t="shared" si="3"/>
        <v>2214.39</v>
      </c>
      <c r="Q24" s="26">
        <f t="shared" si="3"/>
        <v>0</v>
      </c>
      <c r="R24" s="26">
        <f t="shared" si="3"/>
        <v>3223.37</v>
      </c>
      <c r="S24" s="26">
        <f t="shared" si="3"/>
        <v>0</v>
      </c>
      <c r="T24" s="26">
        <f t="shared" si="3"/>
        <v>3008.91</v>
      </c>
      <c r="U24" s="26">
        <f t="shared" si="3"/>
        <v>0</v>
      </c>
      <c r="V24" s="27">
        <f t="shared" si="0"/>
        <v>14211.880000000001</v>
      </c>
      <c r="W24" s="28">
        <f t="shared" si="0"/>
        <v>0</v>
      </c>
    </row>
    <row r="25" spans="1:25">
      <c r="A25" s="22" t="s">
        <v>149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25">
        <f>1536.81</f>
        <v>1536.81</v>
      </c>
      <c r="O25" s="18"/>
      <c r="P25" s="18"/>
      <c r="Q25" s="18"/>
      <c r="R25" s="25">
        <f>213.69</f>
        <v>213.69</v>
      </c>
      <c r="S25" s="18"/>
      <c r="T25" s="18"/>
      <c r="U25" s="18"/>
      <c r="V25" s="23">
        <f t="shared" si="0"/>
        <v>1750.5</v>
      </c>
      <c r="W25" s="24">
        <f t="shared" si="0"/>
        <v>0</v>
      </c>
    </row>
    <row r="26" spans="1:25">
      <c r="A26" s="50" t="s">
        <v>150</v>
      </c>
      <c r="B26" s="52">
        <f>57485</f>
        <v>57485</v>
      </c>
      <c r="C26" s="52">
        <f>50000</f>
        <v>50000</v>
      </c>
      <c r="D26" s="52">
        <f>24286</f>
        <v>24286</v>
      </c>
      <c r="E26" s="52">
        <f>40000</f>
        <v>40000</v>
      </c>
      <c r="F26" s="52">
        <f>24159.1</f>
        <v>24159.1</v>
      </c>
      <c r="G26" s="52">
        <f>30000</f>
        <v>30000</v>
      </c>
      <c r="H26" s="52">
        <f>13369.55</f>
        <v>13369.55</v>
      </c>
      <c r="I26" s="52">
        <f>20000</f>
        <v>20000</v>
      </c>
      <c r="J26" s="51"/>
      <c r="K26" s="52">
        <f>10000</f>
        <v>10000</v>
      </c>
      <c r="L26" s="51"/>
      <c r="M26" s="52">
        <f>10000</f>
        <v>10000</v>
      </c>
      <c r="N26" s="51"/>
      <c r="O26" s="52">
        <f>10000</f>
        <v>10000</v>
      </c>
      <c r="P26" s="51"/>
      <c r="Q26" s="52">
        <f>10000</f>
        <v>10000</v>
      </c>
      <c r="R26" s="51"/>
      <c r="S26" s="52">
        <f>10000</f>
        <v>10000</v>
      </c>
      <c r="T26" s="51"/>
      <c r="U26" s="52">
        <f>10000</f>
        <v>10000</v>
      </c>
      <c r="V26" s="53">
        <f t="shared" si="0"/>
        <v>119299.65000000001</v>
      </c>
      <c r="W26" s="54">
        <f t="shared" si="0"/>
        <v>200000</v>
      </c>
      <c r="Y26" t="s">
        <v>151</v>
      </c>
    </row>
    <row r="27" spans="1:25">
      <c r="A27" s="22" t="s">
        <v>152</v>
      </c>
      <c r="B27" s="26">
        <f t="shared" ref="B27:U27" si="4">(B25)+(B26)</f>
        <v>57485</v>
      </c>
      <c r="C27" s="26">
        <f t="shared" si="4"/>
        <v>50000</v>
      </c>
      <c r="D27" s="26">
        <f t="shared" si="4"/>
        <v>24286</v>
      </c>
      <c r="E27" s="26">
        <f t="shared" si="4"/>
        <v>40000</v>
      </c>
      <c r="F27" s="26">
        <f t="shared" si="4"/>
        <v>24159.1</v>
      </c>
      <c r="G27" s="26">
        <f t="shared" si="4"/>
        <v>30000</v>
      </c>
      <c r="H27" s="26">
        <f t="shared" si="4"/>
        <v>13369.55</v>
      </c>
      <c r="I27" s="26">
        <f t="shared" si="4"/>
        <v>20000</v>
      </c>
      <c r="J27" s="26">
        <f t="shared" si="4"/>
        <v>0</v>
      </c>
      <c r="K27" s="26">
        <f t="shared" si="4"/>
        <v>10000</v>
      </c>
      <c r="L27" s="26">
        <f t="shared" si="4"/>
        <v>0</v>
      </c>
      <c r="M27" s="26">
        <f t="shared" si="4"/>
        <v>10000</v>
      </c>
      <c r="N27" s="26">
        <f t="shared" si="4"/>
        <v>1536.81</v>
      </c>
      <c r="O27" s="26">
        <f t="shared" si="4"/>
        <v>10000</v>
      </c>
      <c r="P27" s="26">
        <f t="shared" si="4"/>
        <v>0</v>
      </c>
      <c r="Q27" s="26">
        <f t="shared" si="4"/>
        <v>10000</v>
      </c>
      <c r="R27" s="26">
        <f t="shared" si="4"/>
        <v>213.69</v>
      </c>
      <c r="S27" s="26">
        <f t="shared" si="4"/>
        <v>10000</v>
      </c>
      <c r="T27" s="26">
        <f t="shared" si="4"/>
        <v>0</v>
      </c>
      <c r="U27" s="26">
        <f t="shared" si="4"/>
        <v>10000</v>
      </c>
      <c r="V27" s="27">
        <f t="shared" si="0"/>
        <v>121050.15000000001</v>
      </c>
      <c r="W27" s="28">
        <f t="shared" si="0"/>
        <v>200000</v>
      </c>
    </row>
    <row r="28" spans="1:25">
      <c r="A28" s="22" t="s">
        <v>153</v>
      </c>
      <c r="B28" s="25">
        <f>2542.37</f>
        <v>2542.37</v>
      </c>
      <c r="C28" s="18"/>
      <c r="D28" s="18"/>
      <c r="E28" s="18"/>
      <c r="F28" s="25">
        <f>177.52</f>
        <v>177.52</v>
      </c>
      <c r="G28" s="18"/>
      <c r="H28" s="18"/>
      <c r="I28" s="18"/>
      <c r="J28" s="18"/>
      <c r="K28" s="18"/>
      <c r="L28" s="25">
        <f>405.49</f>
        <v>405.49</v>
      </c>
      <c r="M28" s="18"/>
      <c r="N28" s="18"/>
      <c r="O28" s="18"/>
      <c r="P28" s="25">
        <f>415.49</f>
        <v>415.49</v>
      </c>
      <c r="Q28" s="18"/>
      <c r="R28" s="18"/>
      <c r="S28" s="18"/>
      <c r="T28" s="18"/>
      <c r="U28" s="18"/>
      <c r="V28" s="23">
        <f t="shared" si="0"/>
        <v>3540.87</v>
      </c>
      <c r="W28" s="24">
        <f t="shared" si="0"/>
        <v>0</v>
      </c>
    </row>
    <row r="29" spans="1:25">
      <c r="A29" s="22" t="s">
        <v>154</v>
      </c>
      <c r="B29" s="26">
        <f t="shared" ref="B29:U29" si="5">((((B16)+(B20))+(B24))+(B27))+(B28)</f>
        <v>124645.25</v>
      </c>
      <c r="C29" s="26">
        <f t="shared" si="5"/>
        <v>125000</v>
      </c>
      <c r="D29" s="26">
        <f t="shared" si="5"/>
        <v>76877.56</v>
      </c>
      <c r="E29" s="26">
        <f t="shared" si="5"/>
        <v>115000</v>
      </c>
      <c r="F29" s="26">
        <f t="shared" si="5"/>
        <v>84485.7</v>
      </c>
      <c r="G29" s="26">
        <f t="shared" si="5"/>
        <v>105000</v>
      </c>
      <c r="H29" s="26">
        <f t="shared" si="5"/>
        <v>67780.960000000006</v>
      </c>
      <c r="I29" s="26">
        <f t="shared" si="5"/>
        <v>95000</v>
      </c>
      <c r="J29" s="26">
        <f t="shared" si="5"/>
        <v>62353.96</v>
      </c>
      <c r="K29" s="26">
        <f t="shared" si="5"/>
        <v>85000</v>
      </c>
      <c r="L29" s="26">
        <f t="shared" si="5"/>
        <v>46448.04</v>
      </c>
      <c r="M29" s="26">
        <f t="shared" si="5"/>
        <v>85000</v>
      </c>
      <c r="N29" s="26">
        <f t="shared" si="5"/>
        <v>44957.81</v>
      </c>
      <c r="O29" s="26">
        <f t="shared" si="5"/>
        <v>85000</v>
      </c>
      <c r="P29" s="26">
        <f t="shared" si="5"/>
        <v>89460.88</v>
      </c>
      <c r="Q29" s="26">
        <f t="shared" si="5"/>
        <v>85000</v>
      </c>
      <c r="R29" s="26">
        <f t="shared" si="5"/>
        <v>83000.19</v>
      </c>
      <c r="S29" s="26">
        <f t="shared" si="5"/>
        <v>85000</v>
      </c>
      <c r="T29" s="26">
        <f t="shared" si="5"/>
        <v>3008.91</v>
      </c>
      <c r="U29" s="26">
        <f t="shared" si="5"/>
        <v>85000</v>
      </c>
      <c r="V29" s="27">
        <f t="shared" si="0"/>
        <v>683019.26000000013</v>
      </c>
      <c r="W29" s="28">
        <f t="shared" si="0"/>
        <v>950000</v>
      </c>
    </row>
    <row r="30" spans="1:25">
      <c r="A30" s="22" t="s">
        <v>155</v>
      </c>
      <c r="B30" s="26">
        <f t="shared" ref="B30:U30" si="6">(B29)-(0)</f>
        <v>124645.25</v>
      </c>
      <c r="C30" s="26">
        <f t="shared" si="6"/>
        <v>125000</v>
      </c>
      <c r="D30" s="26">
        <f t="shared" si="6"/>
        <v>76877.56</v>
      </c>
      <c r="E30" s="26">
        <f t="shared" si="6"/>
        <v>115000</v>
      </c>
      <c r="F30" s="26">
        <f t="shared" si="6"/>
        <v>84485.7</v>
      </c>
      <c r="G30" s="26">
        <f t="shared" si="6"/>
        <v>105000</v>
      </c>
      <c r="H30" s="26">
        <f t="shared" si="6"/>
        <v>67780.960000000006</v>
      </c>
      <c r="I30" s="26">
        <f t="shared" si="6"/>
        <v>95000</v>
      </c>
      <c r="J30" s="26">
        <f t="shared" si="6"/>
        <v>62353.96</v>
      </c>
      <c r="K30" s="26">
        <f t="shared" si="6"/>
        <v>85000</v>
      </c>
      <c r="L30" s="26">
        <f t="shared" si="6"/>
        <v>46448.04</v>
      </c>
      <c r="M30" s="26">
        <f t="shared" si="6"/>
        <v>85000</v>
      </c>
      <c r="N30" s="26">
        <f t="shared" si="6"/>
        <v>44957.81</v>
      </c>
      <c r="O30" s="26">
        <f t="shared" si="6"/>
        <v>85000</v>
      </c>
      <c r="P30" s="26">
        <f t="shared" si="6"/>
        <v>89460.88</v>
      </c>
      <c r="Q30" s="26">
        <f t="shared" si="6"/>
        <v>85000</v>
      </c>
      <c r="R30" s="26">
        <f t="shared" si="6"/>
        <v>83000.19</v>
      </c>
      <c r="S30" s="26">
        <f t="shared" si="6"/>
        <v>85000</v>
      </c>
      <c r="T30" s="26">
        <f t="shared" si="6"/>
        <v>3008.91</v>
      </c>
      <c r="U30" s="26">
        <f t="shared" si="6"/>
        <v>85000</v>
      </c>
      <c r="V30" s="27">
        <f t="shared" si="0"/>
        <v>683019.26000000013</v>
      </c>
      <c r="W30" s="28">
        <f t="shared" si="0"/>
        <v>950000</v>
      </c>
    </row>
    <row r="31" spans="1:25">
      <c r="A31" s="29" t="s">
        <v>156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1"/>
      <c r="W31" s="32"/>
    </row>
    <row r="32" spans="1:25">
      <c r="A32" s="33" t="s">
        <v>157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4">
        <f t="shared" ref="V32:W63" si="7">(((((((((B32)+(D32))+(F32))+(H32))+(J32))+(L32))+(N32))+(P32))+(R32))+(T32)</f>
        <v>0</v>
      </c>
      <c r="W32" s="35">
        <f t="shared" si="7"/>
        <v>0</v>
      </c>
    </row>
    <row r="33" spans="1:27">
      <c r="A33" s="33" t="s">
        <v>158</v>
      </c>
      <c r="B33" s="36">
        <f>429.8</f>
        <v>429.8</v>
      </c>
      <c r="C33" s="36">
        <f>5000</f>
        <v>5000</v>
      </c>
      <c r="D33" s="36">
        <f>975</f>
        <v>975</v>
      </c>
      <c r="E33" s="36">
        <f>6000</f>
        <v>6000</v>
      </c>
      <c r="F33" s="36">
        <f>95</f>
        <v>95</v>
      </c>
      <c r="G33" s="36">
        <f>5000</f>
        <v>5000</v>
      </c>
      <c r="H33" s="36">
        <f>125</f>
        <v>125</v>
      </c>
      <c r="I33" s="36">
        <f>5000</f>
        <v>5000</v>
      </c>
      <c r="J33" s="36">
        <f>975</f>
        <v>975</v>
      </c>
      <c r="K33" s="36">
        <f>6000</f>
        <v>6000</v>
      </c>
      <c r="L33" s="36">
        <f>3727.04</f>
        <v>3727.04</v>
      </c>
      <c r="M33" s="36">
        <f>5000</f>
        <v>5000</v>
      </c>
      <c r="N33" s="36">
        <f>500</f>
        <v>500</v>
      </c>
      <c r="O33" s="36">
        <f>5000</f>
        <v>5000</v>
      </c>
      <c r="P33" s="36">
        <f>975</f>
        <v>975</v>
      </c>
      <c r="Q33" s="36">
        <f>10000</f>
        <v>10000</v>
      </c>
      <c r="R33" s="36">
        <f>4153.88</f>
        <v>4153.88</v>
      </c>
      <c r="S33" s="36">
        <f>5000</f>
        <v>5000</v>
      </c>
      <c r="T33" s="36">
        <f>12227.06</f>
        <v>12227.06</v>
      </c>
      <c r="U33" s="36">
        <f>5000</f>
        <v>5000</v>
      </c>
      <c r="V33" s="34">
        <f t="shared" si="7"/>
        <v>24182.78</v>
      </c>
      <c r="W33" s="35">
        <f t="shared" si="7"/>
        <v>57000</v>
      </c>
    </row>
    <row r="34" spans="1:27">
      <c r="A34" s="33" t="s">
        <v>159</v>
      </c>
      <c r="B34" s="36">
        <f>2019.18</f>
        <v>2019.18</v>
      </c>
      <c r="C34" s="36">
        <f>2500</f>
        <v>2500</v>
      </c>
      <c r="D34" s="30"/>
      <c r="E34" s="36">
        <f>2500</f>
        <v>2500</v>
      </c>
      <c r="F34" s="36">
        <f>1623.57</f>
        <v>1623.57</v>
      </c>
      <c r="G34" s="36">
        <f>2500</f>
        <v>2500</v>
      </c>
      <c r="H34" s="36">
        <f>1443.24</f>
        <v>1443.24</v>
      </c>
      <c r="I34" s="36">
        <f>2500</f>
        <v>2500</v>
      </c>
      <c r="J34" s="36">
        <f>2603.91</f>
        <v>2603.91</v>
      </c>
      <c r="K34" s="36">
        <f>2500</f>
        <v>2500</v>
      </c>
      <c r="L34" s="36">
        <f>411.82</f>
        <v>411.82</v>
      </c>
      <c r="M34" s="36">
        <f>2500</f>
        <v>2500</v>
      </c>
      <c r="N34" s="36">
        <f>2863.03</f>
        <v>2863.03</v>
      </c>
      <c r="O34" s="36">
        <f>2500</f>
        <v>2500</v>
      </c>
      <c r="P34" s="30"/>
      <c r="Q34" s="36">
        <f>2500</f>
        <v>2500</v>
      </c>
      <c r="R34" s="36">
        <f>3004.1</f>
        <v>3004.1</v>
      </c>
      <c r="S34" s="36">
        <f>2500</f>
        <v>2500</v>
      </c>
      <c r="T34" s="36">
        <f>1403.08</f>
        <v>1403.08</v>
      </c>
      <c r="U34" s="36">
        <f>2500</f>
        <v>2500</v>
      </c>
      <c r="V34" s="34">
        <f t="shared" si="7"/>
        <v>15371.93</v>
      </c>
      <c r="W34" s="35">
        <f t="shared" si="7"/>
        <v>25000</v>
      </c>
    </row>
    <row r="35" spans="1:27">
      <c r="A35" s="33" t="s">
        <v>160</v>
      </c>
      <c r="B35" s="36">
        <f>2543.12</f>
        <v>2543.12</v>
      </c>
      <c r="C35" s="30"/>
      <c r="D35" s="36">
        <f>2069.9</f>
        <v>2069.9</v>
      </c>
      <c r="E35" s="30"/>
      <c r="F35" s="36">
        <f>3396.47</f>
        <v>3396.47</v>
      </c>
      <c r="G35" s="30"/>
      <c r="H35" s="36">
        <f>2569.48</f>
        <v>2569.48</v>
      </c>
      <c r="I35" s="30"/>
      <c r="J35" s="36">
        <f>3612.26</f>
        <v>3612.26</v>
      </c>
      <c r="K35" s="30"/>
      <c r="L35" s="36">
        <f>2450.71</f>
        <v>2450.71</v>
      </c>
      <c r="M35" s="30"/>
      <c r="N35" s="36">
        <f>2483.25</f>
        <v>2483.25</v>
      </c>
      <c r="O35" s="30"/>
      <c r="P35" s="36">
        <f>3443.13</f>
        <v>3443.13</v>
      </c>
      <c r="Q35" s="30"/>
      <c r="R35" s="36">
        <f>2668.4</f>
        <v>2668.4</v>
      </c>
      <c r="S35" s="30"/>
      <c r="T35" s="30"/>
      <c r="U35" s="30"/>
      <c r="V35" s="34">
        <f t="shared" si="7"/>
        <v>25236.720000000001</v>
      </c>
      <c r="W35" s="35">
        <f t="shared" si="7"/>
        <v>0</v>
      </c>
    </row>
    <row r="36" spans="1:27">
      <c r="A36" s="33" t="s">
        <v>161</v>
      </c>
      <c r="B36" s="36">
        <f>245.33</f>
        <v>245.33</v>
      </c>
      <c r="C36" s="36">
        <f>2000</f>
        <v>2000</v>
      </c>
      <c r="D36" s="36">
        <f>378.61</f>
        <v>378.61</v>
      </c>
      <c r="E36" s="36">
        <f>2000</f>
        <v>2000</v>
      </c>
      <c r="F36" s="36">
        <f>668.18</f>
        <v>668.18</v>
      </c>
      <c r="G36" s="36">
        <f>2000</f>
        <v>2000</v>
      </c>
      <c r="H36" s="36">
        <f>589.33</f>
        <v>589.33000000000004</v>
      </c>
      <c r="I36" s="36">
        <f>2000</f>
        <v>2000</v>
      </c>
      <c r="J36" s="36">
        <f>737.42</f>
        <v>737.42</v>
      </c>
      <c r="K36" s="36">
        <f>2000</f>
        <v>2000</v>
      </c>
      <c r="L36" s="36">
        <f>734.43</f>
        <v>734.43</v>
      </c>
      <c r="M36" s="36">
        <f>2000</f>
        <v>2000</v>
      </c>
      <c r="N36" s="36">
        <f>390.38</f>
        <v>390.38</v>
      </c>
      <c r="O36" s="36">
        <f>2000</f>
        <v>2000</v>
      </c>
      <c r="P36" s="36">
        <f>456.95</f>
        <v>456.95</v>
      </c>
      <c r="Q36" s="36">
        <f>2000</f>
        <v>2000</v>
      </c>
      <c r="R36" s="36">
        <f>199.07</f>
        <v>199.07</v>
      </c>
      <c r="S36" s="36">
        <f>2000</f>
        <v>2000</v>
      </c>
      <c r="T36" s="36">
        <f>367.07</f>
        <v>367.07</v>
      </c>
      <c r="U36" s="36">
        <f>2000</f>
        <v>2000</v>
      </c>
      <c r="V36" s="34">
        <f t="shared" si="7"/>
        <v>4766.7699999999995</v>
      </c>
      <c r="W36" s="35">
        <f t="shared" si="7"/>
        <v>20000</v>
      </c>
    </row>
    <row r="37" spans="1:27">
      <c r="A37" s="33" t="s">
        <v>162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4">
        <f t="shared" si="7"/>
        <v>0</v>
      </c>
      <c r="W37" s="35">
        <f t="shared" si="7"/>
        <v>0</v>
      </c>
    </row>
    <row r="38" spans="1:27">
      <c r="A38" s="33" t="s">
        <v>163</v>
      </c>
      <c r="B38" s="36">
        <f>283.4</f>
        <v>283.39999999999998</v>
      </c>
      <c r="C38" s="36">
        <f>14000</f>
        <v>14000</v>
      </c>
      <c r="D38" s="36">
        <f>1824.66</f>
        <v>1824.66</v>
      </c>
      <c r="E38" s="36">
        <f>2000</f>
        <v>2000</v>
      </c>
      <c r="F38" s="36">
        <f>1873.09</f>
        <v>1873.09</v>
      </c>
      <c r="G38" s="36">
        <f>2000</f>
        <v>2000</v>
      </c>
      <c r="H38" s="36">
        <f>991.33</f>
        <v>991.33</v>
      </c>
      <c r="I38" s="36">
        <f>2000</f>
        <v>2000</v>
      </c>
      <c r="J38" s="36">
        <f>1871.28</f>
        <v>1871.28</v>
      </c>
      <c r="K38" s="36">
        <f>2000</f>
        <v>2000</v>
      </c>
      <c r="L38" s="36">
        <f>2498.14</f>
        <v>2498.14</v>
      </c>
      <c r="M38" s="36">
        <f>6000</f>
        <v>6000</v>
      </c>
      <c r="N38" s="36">
        <f>841.33</f>
        <v>841.33</v>
      </c>
      <c r="O38" s="36">
        <f>6000</f>
        <v>6000</v>
      </c>
      <c r="P38" s="36">
        <f>1841.33</f>
        <v>1841.33</v>
      </c>
      <c r="Q38" s="36">
        <f>4000</f>
        <v>4000</v>
      </c>
      <c r="R38" s="36">
        <f>865.7</f>
        <v>865.7</v>
      </c>
      <c r="S38" s="36">
        <f>2000</f>
        <v>2000</v>
      </c>
      <c r="T38" s="36">
        <f>1127.2</f>
        <v>1127.2</v>
      </c>
      <c r="U38" s="36">
        <f>2000</f>
        <v>2000</v>
      </c>
      <c r="V38" s="34">
        <f t="shared" si="7"/>
        <v>14017.460000000001</v>
      </c>
      <c r="W38" s="35">
        <f t="shared" si="7"/>
        <v>42000</v>
      </c>
    </row>
    <row r="39" spans="1:27">
      <c r="A39" s="33" t="s">
        <v>164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6">
        <f>5000</f>
        <v>5000</v>
      </c>
      <c r="Q39" s="30"/>
      <c r="R39" s="36">
        <f>5000</f>
        <v>5000</v>
      </c>
      <c r="S39" s="30"/>
      <c r="T39" s="30"/>
      <c r="U39" s="30"/>
      <c r="V39" s="34">
        <f t="shared" si="7"/>
        <v>10000</v>
      </c>
      <c r="W39" s="35">
        <f t="shared" si="7"/>
        <v>0</v>
      </c>
      <c r="Y39" s="71" t="s">
        <v>165</v>
      </c>
      <c r="Z39" s="71"/>
      <c r="AA39" s="71"/>
    </row>
    <row r="40" spans="1:27">
      <c r="A40" s="33" t="s">
        <v>166</v>
      </c>
      <c r="B40" s="36">
        <f>3000</f>
        <v>3000</v>
      </c>
      <c r="C40" s="30"/>
      <c r="D40" s="36">
        <f>3000</f>
        <v>3000</v>
      </c>
      <c r="E40" s="30"/>
      <c r="F40" s="36">
        <f>3000</f>
        <v>3000</v>
      </c>
      <c r="G40" s="30"/>
      <c r="H40" s="36">
        <f>3000</f>
        <v>3000</v>
      </c>
      <c r="I40" s="30"/>
      <c r="J40" s="36">
        <f>3000</f>
        <v>3000</v>
      </c>
      <c r="K40" s="30"/>
      <c r="L40" s="36">
        <f>3000</f>
        <v>3000</v>
      </c>
      <c r="M40" s="30"/>
      <c r="N40" s="36">
        <f>3000</f>
        <v>3000</v>
      </c>
      <c r="O40" s="30"/>
      <c r="P40" s="36">
        <f>3000</f>
        <v>3000</v>
      </c>
      <c r="Q40" s="30"/>
      <c r="R40" s="36">
        <f>3000</f>
        <v>3000</v>
      </c>
      <c r="S40" s="30"/>
      <c r="T40" s="36">
        <f>3000</f>
        <v>3000</v>
      </c>
      <c r="U40" s="30"/>
      <c r="V40" s="34">
        <f t="shared" si="7"/>
        <v>30000</v>
      </c>
      <c r="W40" s="35">
        <f t="shared" si="7"/>
        <v>0</v>
      </c>
      <c r="Y40" t="s">
        <v>167</v>
      </c>
    </row>
    <row r="41" spans="1:27">
      <c r="A41" s="33" t="s">
        <v>168</v>
      </c>
      <c r="B41" s="30"/>
      <c r="C41" s="36">
        <f>0</f>
        <v>0</v>
      </c>
      <c r="D41" s="30"/>
      <c r="E41" s="36">
        <f>0</f>
        <v>0</v>
      </c>
      <c r="F41" s="30"/>
      <c r="G41" s="36">
        <f>0</f>
        <v>0</v>
      </c>
      <c r="H41" s="30"/>
      <c r="I41" s="36">
        <f>10000</f>
        <v>10000</v>
      </c>
      <c r="J41" s="30"/>
      <c r="K41" s="36">
        <f>10000</f>
        <v>10000</v>
      </c>
      <c r="L41" s="30"/>
      <c r="M41" s="36">
        <f>10000</f>
        <v>10000</v>
      </c>
      <c r="N41" s="30"/>
      <c r="O41" s="36">
        <f>10000</f>
        <v>10000</v>
      </c>
      <c r="P41" s="30"/>
      <c r="Q41" s="36">
        <f>10000</f>
        <v>10000</v>
      </c>
      <c r="R41" s="30"/>
      <c r="S41" s="36">
        <f>10000</f>
        <v>10000</v>
      </c>
      <c r="T41" s="30"/>
      <c r="U41" s="36">
        <f>10000</f>
        <v>10000</v>
      </c>
      <c r="V41" s="34">
        <f t="shared" si="7"/>
        <v>0</v>
      </c>
      <c r="W41" s="35">
        <f t="shared" si="7"/>
        <v>70000</v>
      </c>
    </row>
    <row r="42" spans="1:27">
      <c r="A42" s="33" t="s">
        <v>169</v>
      </c>
      <c r="B42" s="36">
        <f>770</f>
        <v>770</v>
      </c>
      <c r="C42" s="36">
        <f>400</f>
        <v>400</v>
      </c>
      <c r="D42" s="36">
        <f>400</f>
        <v>400</v>
      </c>
      <c r="E42" s="36">
        <f>400</f>
        <v>400</v>
      </c>
      <c r="F42" s="36">
        <f>400</f>
        <v>400</v>
      </c>
      <c r="G42" s="36">
        <f>400</f>
        <v>400</v>
      </c>
      <c r="H42" s="36">
        <f>400</f>
        <v>400</v>
      </c>
      <c r="I42" s="36">
        <f>400</f>
        <v>400</v>
      </c>
      <c r="J42" s="36">
        <f>400</f>
        <v>400</v>
      </c>
      <c r="K42" s="36">
        <f>400</f>
        <v>400</v>
      </c>
      <c r="L42" s="36">
        <f>400</f>
        <v>400</v>
      </c>
      <c r="M42" s="36">
        <f>400</f>
        <v>400</v>
      </c>
      <c r="N42" s="36">
        <f>400</f>
        <v>400</v>
      </c>
      <c r="O42" s="36">
        <f>400</f>
        <v>400</v>
      </c>
      <c r="P42" s="36">
        <f>400</f>
        <v>400</v>
      </c>
      <c r="Q42" s="36">
        <f>400</f>
        <v>400</v>
      </c>
      <c r="R42" s="36">
        <f>400</f>
        <v>400</v>
      </c>
      <c r="S42" s="36">
        <f>400</f>
        <v>400</v>
      </c>
      <c r="T42" s="36">
        <f>400</f>
        <v>400</v>
      </c>
      <c r="U42" s="36">
        <f>400</f>
        <v>400</v>
      </c>
      <c r="V42" s="34">
        <f t="shared" si="7"/>
        <v>4370</v>
      </c>
      <c r="W42" s="35">
        <f t="shared" si="7"/>
        <v>4000</v>
      </c>
      <c r="Y42" t="s">
        <v>170</v>
      </c>
    </row>
    <row r="43" spans="1:27">
      <c r="A43" s="33" t="s">
        <v>171</v>
      </c>
      <c r="B43" s="37">
        <f t="shared" ref="B43:U43" si="8">(((((B37)+(B38))+(B39))+(B40))+(B41))+(B42)</f>
        <v>4053.4</v>
      </c>
      <c r="C43" s="37">
        <f t="shared" si="8"/>
        <v>14400</v>
      </c>
      <c r="D43" s="37">
        <f t="shared" si="8"/>
        <v>5224.66</v>
      </c>
      <c r="E43" s="37">
        <f t="shared" si="8"/>
        <v>2400</v>
      </c>
      <c r="F43" s="37">
        <f t="shared" si="8"/>
        <v>5273.09</v>
      </c>
      <c r="G43" s="37">
        <f t="shared" si="8"/>
        <v>2400</v>
      </c>
      <c r="H43" s="37">
        <f t="shared" si="8"/>
        <v>4391.33</v>
      </c>
      <c r="I43" s="37">
        <f t="shared" si="8"/>
        <v>12400</v>
      </c>
      <c r="J43" s="37">
        <f t="shared" si="8"/>
        <v>5271.28</v>
      </c>
      <c r="K43" s="37">
        <f t="shared" si="8"/>
        <v>12400</v>
      </c>
      <c r="L43" s="37">
        <f t="shared" si="8"/>
        <v>5898.1399999999994</v>
      </c>
      <c r="M43" s="37">
        <f t="shared" si="8"/>
        <v>16400</v>
      </c>
      <c r="N43" s="37">
        <f t="shared" si="8"/>
        <v>4241.33</v>
      </c>
      <c r="O43" s="37">
        <f t="shared" si="8"/>
        <v>16400</v>
      </c>
      <c r="P43" s="37">
        <f t="shared" si="8"/>
        <v>10241.33</v>
      </c>
      <c r="Q43" s="37">
        <f t="shared" si="8"/>
        <v>14400</v>
      </c>
      <c r="R43" s="37">
        <f t="shared" si="8"/>
        <v>9265.7000000000007</v>
      </c>
      <c r="S43" s="37">
        <f t="shared" si="8"/>
        <v>12400</v>
      </c>
      <c r="T43" s="37">
        <f t="shared" si="8"/>
        <v>4527.2</v>
      </c>
      <c r="U43" s="37">
        <f t="shared" si="8"/>
        <v>12400</v>
      </c>
      <c r="V43" s="38">
        <f t="shared" si="7"/>
        <v>58387.459999999992</v>
      </c>
      <c r="W43" s="39">
        <f t="shared" si="7"/>
        <v>116000</v>
      </c>
    </row>
    <row r="44" spans="1:27">
      <c r="A44" s="33" t="s">
        <v>172</v>
      </c>
      <c r="B44" s="37">
        <f t="shared" ref="B44:U44" si="9">(((((B32)+(B33))+(B34))+(B35))+(B36))+(B43)</f>
        <v>9290.83</v>
      </c>
      <c r="C44" s="37">
        <f t="shared" si="9"/>
        <v>23900</v>
      </c>
      <c r="D44" s="37">
        <f t="shared" si="9"/>
        <v>8648.17</v>
      </c>
      <c r="E44" s="37">
        <f t="shared" si="9"/>
        <v>12900</v>
      </c>
      <c r="F44" s="37">
        <f t="shared" si="9"/>
        <v>11056.310000000001</v>
      </c>
      <c r="G44" s="37">
        <f t="shared" si="9"/>
        <v>11900</v>
      </c>
      <c r="H44" s="37">
        <f t="shared" si="9"/>
        <v>9118.380000000001</v>
      </c>
      <c r="I44" s="37">
        <f t="shared" si="9"/>
        <v>21900</v>
      </c>
      <c r="J44" s="37">
        <f t="shared" si="9"/>
        <v>13199.869999999999</v>
      </c>
      <c r="K44" s="37">
        <f t="shared" si="9"/>
        <v>22900</v>
      </c>
      <c r="L44" s="37">
        <f t="shared" si="9"/>
        <v>13222.14</v>
      </c>
      <c r="M44" s="37">
        <f t="shared" si="9"/>
        <v>25900</v>
      </c>
      <c r="N44" s="37">
        <f t="shared" si="9"/>
        <v>10477.990000000002</v>
      </c>
      <c r="O44" s="37">
        <f t="shared" si="9"/>
        <v>25900</v>
      </c>
      <c r="P44" s="37">
        <f t="shared" si="9"/>
        <v>15116.41</v>
      </c>
      <c r="Q44" s="37">
        <f t="shared" si="9"/>
        <v>28900</v>
      </c>
      <c r="R44" s="37">
        <f t="shared" si="9"/>
        <v>19291.150000000001</v>
      </c>
      <c r="S44" s="37">
        <f t="shared" si="9"/>
        <v>21900</v>
      </c>
      <c r="T44" s="37">
        <f t="shared" si="9"/>
        <v>18524.41</v>
      </c>
      <c r="U44" s="37">
        <f t="shared" si="9"/>
        <v>21900</v>
      </c>
      <c r="V44" s="38">
        <f t="shared" si="7"/>
        <v>127945.66</v>
      </c>
      <c r="W44" s="39">
        <f t="shared" si="7"/>
        <v>218000</v>
      </c>
    </row>
    <row r="45" spans="1:27">
      <c r="A45" s="33" t="s">
        <v>173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4">
        <f t="shared" si="7"/>
        <v>0</v>
      </c>
      <c r="W45" s="35">
        <f t="shared" si="7"/>
        <v>0</v>
      </c>
    </row>
    <row r="46" spans="1:27">
      <c r="A46" s="33" t="s">
        <v>174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6">
        <f>6</f>
        <v>6</v>
      </c>
      <c r="O46" s="30"/>
      <c r="P46" s="30"/>
      <c r="Q46" s="30"/>
      <c r="R46" s="30"/>
      <c r="S46" s="30"/>
      <c r="T46" s="30"/>
      <c r="U46" s="30"/>
      <c r="V46" s="34">
        <f t="shared" si="7"/>
        <v>6</v>
      </c>
      <c r="W46" s="35">
        <f t="shared" si="7"/>
        <v>0</v>
      </c>
      <c r="Y46" t="s">
        <v>175</v>
      </c>
    </row>
    <row r="47" spans="1:27">
      <c r="A47" s="33" t="s">
        <v>176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6">
        <f>245</f>
        <v>245</v>
      </c>
      <c r="Q47" s="30"/>
      <c r="R47" s="36">
        <f>490</f>
        <v>490</v>
      </c>
      <c r="S47" s="30"/>
      <c r="T47" s="30"/>
      <c r="U47" s="30"/>
      <c r="V47" s="34">
        <f t="shared" si="7"/>
        <v>735</v>
      </c>
      <c r="W47" s="35">
        <f t="shared" si="7"/>
        <v>0</v>
      </c>
      <c r="Y47" t="s">
        <v>177</v>
      </c>
    </row>
    <row r="48" spans="1:27">
      <c r="A48" s="33" t="s">
        <v>178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6">
        <f>-2492.2</f>
        <v>-2492.1999999999998</v>
      </c>
      <c r="O48" s="30"/>
      <c r="P48" s="30"/>
      <c r="Q48" s="30"/>
      <c r="R48" s="30"/>
      <c r="S48" s="30"/>
      <c r="T48" s="30"/>
      <c r="U48" s="30"/>
      <c r="V48" s="34">
        <f t="shared" si="7"/>
        <v>-2492.1999999999998</v>
      </c>
      <c r="W48" s="35">
        <f t="shared" si="7"/>
        <v>0</v>
      </c>
      <c r="Y48" t="s">
        <v>179</v>
      </c>
    </row>
    <row r="49" spans="1:25">
      <c r="A49" s="33" t="s">
        <v>180</v>
      </c>
      <c r="B49" s="37">
        <f t="shared" ref="B49:U49" si="10">(((B45)+(B46))+(B47))+(B48)</f>
        <v>0</v>
      </c>
      <c r="C49" s="37">
        <f t="shared" si="10"/>
        <v>0</v>
      </c>
      <c r="D49" s="37">
        <f t="shared" si="10"/>
        <v>0</v>
      </c>
      <c r="E49" s="37">
        <f t="shared" si="10"/>
        <v>0</v>
      </c>
      <c r="F49" s="37">
        <f t="shared" si="10"/>
        <v>0</v>
      </c>
      <c r="G49" s="37">
        <f t="shared" si="10"/>
        <v>0</v>
      </c>
      <c r="H49" s="37">
        <f t="shared" si="10"/>
        <v>0</v>
      </c>
      <c r="I49" s="37">
        <f t="shared" si="10"/>
        <v>0</v>
      </c>
      <c r="J49" s="37">
        <f t="shared" si="10"/>
        <v>0</v>
      </c>
      <c r="K49" s="37">
        <f t="shared" si="10"/>
        <v>0</v>
      </c>
      <c r="L49" s="37">
        <f t="shared" si="10"/>
        <v>0</v>
      </c>
      <c r="M49" s="37">
        <f t="shared" si="10"/>
        <v>0</v>
      </c>
      <c r="N49" s="37">
        <f t="shared" si="10"/>
        <v>-2486.1999999999998</v>
      </c>
      <c r="O49" s="37">
        <f t="shared" si="10"/>
        <v>0</v>
      </c>
      <c r="P49" s="37">
        <f t="shared" si="10"/>
        <v>245</v>
      </c>
      <c r="Q49" s="37">
        <f t="shared" si="10"/>
        <v>0</v>
      </c>
      <c r="R49" s="37">
        <f t="shared" si="10"/>
        <v>490</v>
      </c>
      <c r="S49" s="37">
        <f t="shared" si="10"/>
        <v>0</v>
      </c>
      <c r="T49" s="37">
        <f t="shared" si="10"/>
        <v>0</v>
      </c>
      <c r="U49" s="37">
        <f t="shared" si="10"/>
        <v>0</v>
      </c>
      <c r="V49" s="38">
        <f t="shared" si="7"/>
        <v>-1751.1999999999998</v>
      </c>
      <c r="W49" s="39">
        <f t="shared" si="7"/>
        <v>0</v>
      </c>
    </row>
    <row r="50" spans="1:25">
      <c r="A50" s="55" t="s">
        <v>181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7">
        <f t="shared" si="7"/>
        <v>0</v>
      </c>
      <c r="W50" s="58">
        <f t="shared" si="7"/>
        <v>0</v>
      </c>
      <c r="Y50" t="s">
        <v>182</v>
      </c>
    </row>
    <row r="51" spans="1:25">
      <c r="A51" s="55" t="s">
        <v>183</v>
      </c>
      <c r="B51" s="56"/>
      <c r="C51" s="56"/>
      <c r="D51" s="56"/>
      <c r="E51" s="56"/>
      <c r="F51" s="56"/>
      <c r="G51" s="56"/>
      <c r="H51" s="56"/>
      <c r="I51" s="56"/>
      <c r="J51" s="59">
        <f>0</f>
        <v>0</v>
      </c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7">
        <f t="shared" si="7"/>
        <v>0</v>
      </c>
      <c r="W51" s="58">
        <f t="shared" si="7"/>
        <v>0</v>
      </c>
    </row>
    <row r="52" spans="1:25">
      <c r="A52" s="55" t="s">
        <v>184</v>
      </c>
      <c r="B52" s="60">
        <f t="shared" ref="B52:U52" si="11">(B50)+(B51)</f>
        <v>0</v>
      </c>
      <c r="C52" s="60">
        <f t="shared" si="11"/>
        <v>0</v>
      </c>
      <c r="D52" s="60">
        <f t="shared" si="11"/>
        <v>0</v>
      </c>
      <c r="E52" s="60">
        <f t="shared" si="11"/>
        <v>0</v>
      </c>
      <c r="F52" s="60">
        <f t="shared" si="11"/>
        <v>0</v>
      </c>
      <c r="G52" s="60">
        <f t="shared" si="11"/>
        <v>0</v>
      </c>
      <c r="H52" s="60">
        <f t="shared" si="11"/>
        <v>0</v>
      </c>
      <c r="I52" s="60">
        <f t="shared" si="11"/>
        <v>0</v>
      </c>
      <c r="J52" s="60">
        <f t="shared" si="11"/>
        <v>0</v>
      </c>
      <c r="K52" s="60">
        <f t="shared" si="11"/>
        <v>0</v>
      </c>
      <c r="L52" s="60">
        <f t="shared" si="11"/>
        <v>0</v>
      </c>
      <c r="M52" s="60">
        <f t="shared" si="11"/>
        <v>0</v>
      </c>
      <c r="N52" s="60">
        <f t="shared" si="11"/>
        <v>0</v>
      </c>
      <c r="O52" s="60">
        <f t="shared" si="11"/>
        <v>0</v>
      </c>
      <c r="P52" s="60">
        <f t="shared" si="11"/>
        <v>0</v>
      </c>
      <c r="Q52" s="60">
        <f t="shared" si="11"/>
        <v>0</v>
      </c>
      <c r="R52" s="60">
        <f t="shared" si="11"/>
        <v>0</v>
      </c>
      <c r="S52" s="60">
        <f t="shared" si="11"/>
        <v>0</v>
      </c>
      <c r="T52" s="60">
        <f t="shared" si="11"/>
        <v>0</v>
      </c>
      <c r="U52" s="60">
        <f t="shared" si="11"/>
        <v>0</v>
      </c>
      <c r="V52" s="61">
        <f t="shared" si="7"/>
        <v>0</v>
      </c>
      <c r="W52" s="62">
        <f t="shared" si="7"/>
        <v>0</v>
      </c>
    </row>
    <row r="53" spans="1:25">
      <c r="A53" s="33" t="s">
        <v>185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4">
        <f t="shared" si="7"/>
        <v>0</v>
      </c>
      <c r="W53" s="35">
        <f t="shared" si="7"/>
        <v>0</v>
      </c>
    </row>
    <row r="54" spans="1:25">
      <c r="A54" s="33" t="s">
        <v>186</v>
      </c>
      <c r="B54" s="36">
        <f>37721.94</f>
        <v>37721.94</v>
      </c>
      <c r="C54" s="36">
        <f>26000</f>
        <v>26000</v>
      </c>
      <c r="D54" s="36">
        <f>23713.44</f>
        <v>23713.439999999999</v>
      </c>
      <c r="E54" s="36">
        <f>26000</f>
        <v>26000</v>
      </c>
      <c r="F54" s="36">
        <f>22559.14</f>
        <v>22559.14</v>
      </c>
      <c r="G54" s="36">
        <f>26000</f>
        <v>26000</v>
      </c>
      <c r="H54" s="36">
        <f>21464.71</f>
        <v>21464.71</v>
      </c>
      <c r="I54" s="36">
        <f>30000</f>
        <v>30000</v>
      </c>
      <c r="J54" s="36">
        <f>23377.2</f>
        <v>23377.200000000001</v>
      </c>
      <c r="K54" s="36">
        <f>30000</f>
        <v>30000</v>
      </c>
      <c r="L54" s="36">
        <f>23838.28</f>
        <v>23838.28</v>
      </c>
      <c r="M54" s="36">
        <f>30000</f>
        <v>30000</v>
      </c>
      <c r="N54" s="36">
        <f>26050.52</f>
        <v>26050.52</v>
      </c>
      <c r="O54" s="36">
        <f>30000</f>
        <v>30000</v>
      </c>
      <c r="P54" s="36">
        <f>22464.61</f>
        <v>22464.61</v>
      </c>
      <c r="Q54" s="36">
        <f>30000</f>
        <v>30000</v>
      </c>
      <c r="R54" s="36">
        <f>20237.19</f>
        <v>20237.189999999999</v>
      </c>
      <c r="S54" s="36">
        <f>30000</f>
        <v>30000</v>
      </c>
      <c r="T54" s="36">
        <f>17909.5</f>
        <v>17909.5</v>
      </c>
      <c r="U54" s="36">
        <f>30000</f>
        <v>30000</v>
      </c>
      <c r="V54" s="34">
        <f t="shared" si="7"/>
        <v>239336.53000000003</v>
      </c>
      <c r="W54" s="35">
        <f t="shared" si="7"/>
        <v>288000</v>
      </c>
    </row>
    <row r="55" spans="1:25">
      <c r="A55" s="33" t="s">
        <v>187</v>
      </c>
      <c r="B55" s="36">
        <f>13723.25</f>
        <v>13723.25</v>
      </c>
      <c r="C55" s="36">
        <f>9700</f>
        <v>9700</v>
      </c>
      <c r="D55" s="36">
        <f>11168.55</f>
        <v>11168.55</v>
      </c>
      <c r="E55" s="36">
        <f>9700</f>
        <v>9700</v>
      </c>
      <c r="F55" s="36">
        <f>9755.19</f>
        <v>9755.19</v>
      </c>
      <c r="G55" s="36">
        <f>9700</f>
        <v>9700</v>
      </c>
      <c r="H55" s="36">
        <f>9023.75</f>
        <v>9023.75</v>
      </c>
      <c r="I55" s="36">
        <f>9700</f>
        <v>9700</v>
      </c>
      <c r="J55" s="36">
        <f>8905</f>
        <v>8905</v>
      </c>
      <c r="K55" s="36">
        <f>9700</f>
        <v>9700</v>
      </c>
      <c r="L55" s="36">
        <f>6708.75</f>
        <v>6708.75</v>
      </c>
      <c r="M55" s="36">
        <f>9700</f>
        <v>9700</v>
      </c>
      <c r="N55" s="36">
        <f>9100</f>
        <v>9100</v>
      </c>
      <c r="O55" s="36">
        <f>9700</f>
        <v>9700</v>
      </c>
      <c r="P55" s="36">
        <f>8100</f>
        <v>8100</v>
      </c>
      <c r="Q55" s="36">
        <f>9700</f>
        <v>9700</v>
      </c>
      <c r="R55" s="36">
        <f>11400</f>
        <v>11400</v>
      </c>
      <c r="S55" s="36">
        <f>9700</f>
        <v>9700</v>
      </c>
      <c r="T55" s="36">
        <f>9600</f>
        <v>9600</v>
      </c>
      <c r="U55" s="36">
        <f>9700</f>
        <v>9700</v>
      </c>
      <c r="V55" s="34">
        <f t="shared" si="7"/>
        <v>97484.489999999991</v>
      </c>
      <c r="W55" s="35">
        <f t="shared" si="7"/>
        <v>97000</v>
      </c>
    </row>
    <row r="56" spans="1:25">
      <c r="A56" s="33" t="s">
        <v>188</v>
      </c>
      <c r="B56" s="36">
        <f>3808.54</f>
        <v>3808.54</v>
      </c>
      <c r="C56" s="36">
        <f>2000</f>
        <v>2000</v>
      </c>
      <c r="D56" s="36">
        <f>2180.81</f>
        <v>2180.81</v>
      </c>
      <c r="E56" s="36">
        <f>2000</f>
        <v>2000</v>
      </c>
      <c r="F56" s="36">
        <f>2000.99</f>
        <v>2000.99</v>
      </c>
      <c r="G56" s="36">
        <f>2000</f>
        <v>2000</v>
      </c>
      <c r="H56" s="36">
        <f>1952.2</f>
        <v>1952.2</v>
      </c>
      <c r="I56" s="36">
        <f>2000</f>
        <v>2000</v>
      </c>
      <c r="J56" s="36">
        <f>1690.54</f>
        <v>1690.54</v>
      </c>
      <c r="K56" s="36">
        <f>2000</f>
        <v>2000</v>
      </c>
      <c r="L56" s="36">
        <f>1774.39</f>
        <v>1774.39</v>
      </c>
      <c r="M56" s="36">
        <f>2000</f>
        <v>2000</v>
      </c>
      <c r="N56" s="36">
        <f>2618.43</f>
        <v>2618.4299999999998</v>
      </c>
      <c r="O56" s="36">
        <f>2000</f>
        <v>2000</v>
      </c>
      <c r="P56" s="36">
        <f>2143.32</f>
        <v>2143.3200000000002</v>
      </c>
      <c r="Q56" s="36">
        <f>2000</f>
        <v>2000</v>
      </c>
      <c r="R56" s="36">
        <f>2517.62</f>
        <v>2517.62</v>
      </c>
      <c r="S56" s="36">
        <f>2000</f>
        <v>2000</v>
      </c>
      <c r="T56" s="36">
        <f>5654.99</f>
        <v>5654.99</v>
      </c>
      <c r="U56" s="36">
        <f>2000</f>
        <v>2000</v>
      </c>
      <c r="V56" s="34">
        <f t="shared" si="7"/>
        <v>26341.83</v>
      </c>
      <c r="W56" s="35">
        <f t="shared" si="7"/>
        <v>20000</v>
      </c>
    </row>
    <row r="57" spans="1:25">
      <c r="A57" s="33" t="s">
        <v>189</v>
      </c>
      <c r="B57" s="36">
        <f>707.42</f>
        <v>707.42</v>
      </c>
      <c r="C57" s="36">
        <f>500</f>
        <v>500</v>
      </c>
      <c r="D57" s="36">
        <f>499.8</f>
        <v>499.8</v>
      </c>
      <c r="E57" s="36">
        <f>500</f>
        <v>500</v>
      </c>
      <c r="F57" s="36">
        <f>499.8</f>
        <v>499.8</v>
      </c>
      <c r="G57" s="36">
        <f>500</f>
        <v>500</v>
      </c>
      <c r="H57" s="36">
        <f>1336.42</f>
        <v>1336.42</v>
      </c>
      <c r="I57" s="36">
        <f>500</f>
        <v>500</v>
      </c>
      <c r="J57" s="36">
        <f>499.8</f>
        <v>499.8</v>
      </c>
      <c r="K57" s="36">
        <f>500</f>
        <v>500</v>
      </c>
      <c r="L57" s="36">
        <f>499.8</f>
        <v>499.8</v>
      </c>
      <c r="M57" s="36">
        <f>500</f>
        <v>500</v>
      </c>
      <c r="N57" s="36">
        <f>749.7</f>
        <v>749.7</v>
      </c>
      <c r="O57" s="36">
        <f>500</f>
        <v>500</v>
      </c>
      <c r="P57" s="36">
        <f>499.8</f>
        <v>499.8</v>
      </c>
      <c r="Q57" s="36">
        <f>500</f>
        <v>500</v>
      </c>
      <c r="R57" s="36">
        <f>499.8</f>
        <v>499.8</v>
      </c>
      <c r="S57" s="36">
        <f>500</f>
        <v>500</v>
      </c>
      <c r="T57" s="36">
        <f>1499.44</f>
        <v>1499.44</v>
      </c>
      <c r="U57" s="36">
        <f>500</f>
        <v>500</v>
      </c>
      <c r="V57" s="34">
        <f t="shared" si="7"/>
        <v>7291.7800000000007</v>
      </c>
      <c r="W57" s="35">
        <f t="shared" si="7"/>
        <v>5000</v>
      </c>
    </row>
    <row r="58" spans="1:25">
      <c r="A58" s="33" t="s">
        <v>190</v>
      </c>
      <c r="B58" s="30"/>
      <c r="C58" s="36">
        <f>150</f>
        <v>150</v>
      </c>
      <c r="D58" s="30"/>
      <c r="E58" s="36">
        <f>150</f>
        <v>150</v>
      </c>
      <c r="F58" s="30"/>
      <c r="G58" s="36">
        <f>150</f>
        <v>150</v>
      </c>
      <c r="H58" s="30"/>
      <c r="I58" s="36">
        <f>150</f>
        <v>150</v>
      </c>
      <c r="J58" s="30"/>
      <c r="K58" s="36">
        <f>150</f>
        <v>150</v>
      </c>
      <c r="L58" s="30"/>
      <c r="M58" s="36">
        <f>150</f>
        <v>150</v>
      </c>
      <c r="N58" s="30"/>
      <c r="O58" s="36">
        <f>150</f>
        <v>150</v>
      </c>
      <c r="P58" s="30"/>
      <c r="Q58" s="36">
        <f>150</f>
        <v>150</v>
      </c>
      <c r="R58" s="30"/>
      <c r="S58" s="36">
        <f>150</f>
        <v>150</v>
      </c>
      <c r="T58" s="30"/>
      <c r="U58" s="36">
        <f>150</f>
        <v>150</v>
      </c>
      <c r="V58" s="34">
        <f t="shared" si="7"/>
        <v>0</v>
      </c>
      <c r="W58" s="35">
        <f t="shared" si="7"/>
        <v>1500</v>
      </c>
    </row>
    <row r="59" spans="1:25">
      <c r="A59" s="33" t="s">
        <v>191</v>
      </c>
      <c r="B59" s="36">
        <f>2501.11</f>
        <v>2501.11</v>
      </c>
      <c r="C59" s="36">
        <f>2600</f>
        <v>2600</v>
      </c>
      <c r="D59" s="36">
        <f>2501.11</f>
        <v>2501.11</v>
      </c>
      <c r="E59" s="36">
        <f>2600</f>
        <v>2600</v>
      </c>
      <c r="F59" s="36">
        <f>2501.11</f>
        <v>2501.11</v>
      </c>
      <c r="G59" s="36">
        <f>2600</f>
        <v>2600</v>
      </c>
      <c r="H59" s="36">
        <f>2663.91</f>
        <v>2663.91</v>
      </c>
      <c r="I59" s="36">
        <f>2600</f>
        <v>2600</v>
      </c>
      <c r="J59" s="36">
        <f>669.02</f>
        <v>669.02</v>
      </c>
      <c r="K59" s="36">
        <f>2600</f>
        <v>2600</v>
      </c>
      <c r="L59" s="36">
        <f>626.01</f>
        <v>626.01</v>
      </c>
      <c r="M59" s="36">
        <f>2600</f>
        <v>2600</v>
      </c>
      <c r="N59" s="36">
        <f>1305.31</f>
        <v>1305.31</v>
      </c>
      <c r="O59" s="36">
        <f>2600</f>
        <v>2600</v>
      </c>
      <c r="P59" s="36">
        <f>1305.31</f>
        <v>1305.31</v>
      </c>
      <c r="Q59" s="36">
        <f>2600</f>
        <v>2600</v>
      </c>
      <c r="R59" s="36">
        <f>1305.31</f>
        <v>1305.31</v>
      </c>
      <c r="S59" s="36">
        <f>2600</f>
        <v>2600</v>
      </c>
      <c r="T59" s="36">
        <f>1305.31</f>
        <v>1305.31</v>
      </c>
      <c r="U59" s="36">
        <f>2600</f>
        <v>2600</v>
      </c>
      <c r="V59" s="34">
        <f t="shared" si="7"/>
        <v>16683.509999999998</v>
      </c>
      <c r="W59" s="35">
        <f t="shared" si="7"/>
        <v>26000</v>
      </c>
    </row>
    <row r="60" spans="1:25">
      <c r="A60" s="33" t="s">
        <v>192</v>
      </c>
      <c r="B60" s="30"/>
      <c r="C60" s="36">
        <f>150</f>
        <v>150</v>
      </c>
      <c r="D60" s="30"/>
      <c r="E60" s="36">
        <f>150</f>
        <v>150</v>
      </c>
      <c r="F60" s="30"/>
      <c r="G60" s="36">
        <f>150</f>
        <v>150</v>
      </c>
      <c r="H60" s="30"/>
      <c r="I60" s="36">
        <f>150</f>
        <v>150</v>
      </c>
      <c r="J60" s="30"/>
      <c r="K60" s="36">
        <f>150</f>
        <v>150</v>
      </c>
      <c r="L60" s="30"/>
      <c r="M60" s="36">
        <f>150</f>
        <v>150</v>
      </c>
      <c r="N60" s="30"/>
      <c r="O60" s="36">
        <f>150</f>
        <v>150</v>
      </c>
      <c r="P60" s="30"/>
      <c r="Q60" s="36">
        <f>150</f>
        <v>150</v>
      </c>
      <c r="R60" s="30"/>
      <c r="S60" s="36">
        <f>150</f>
        <v>150</v>
      </c>
      <c r="T60" s="30"/>
      <c r="U60" s="36">
        <f>150</f>
        <v>150</v>
      </c>
      <c r="V60" s="34">
        <f t="shared" si="7"/>
        <v>0</v>
      </c>
      <c r="W60" s="35">
        <f t="shared" si="7"/>
        <v>1500</v>
      </c>
      <c r="Y60" t="s">
        <v>193</v>
      </c>
    </row>
    <row r="61" spans="1:25">
      <c r="A61" s="33" t="s">
        <v>194</v>
      </c>
      <c r="B61" s="30"/>
      <c r="C61" s="36">
        <f>50</f>
        <v>50</v>
      </c>
      <c r="D61" s="30"/>
      <c r="E61" s="36">
        <f>50</f>
        <v>50</v>
      </c>
      <c r="F61" s="36">
        <f>50</f>
        <v>50</v>
      </c>
      <c r="G61" s="36">
        <f>50</f>
        <v>50</v>
      </c>
      <c r="H61" s="30"/>
      <c r="I61" s="36">
        <f>50</f>
        <v>50</v>
      </c>
      <c r="J61" s="30"/>
      <c r="K61" s="36">
        <f>50</f>
        <v>50</v>
      </c>
      <c r="L61" s="30"/>
      <c r="M61" s="36">
        <f>50</f>
        <v>50</v>
      </c>
      <c r="N61" s="30"/>
      <c r="O61" s="36">
        <f>50</f>
        <v>50</v>
      </c>
      <c r="P61" s="30"/>
      <c r="Q61" s="36">
        <f>50</f>
        <v>50</v>
      </c>
      <c r="R61" s="30"/>
      <c r="S61" s="36">
        <f>50</f>
        <v>50</v>
      </c>
      <c r="T61" s="30"/>
      <c r="U61" s="36">
        <f>50</f>
        <v>50</v>
      </c>
      <c r="V61" s="34">
        <f t="shared" si="7"/>
        <v>50</v>
      </c>
      <c r="W61" s="35">
        <f t="shared" si="7"/>
        <v>500</v>
      </c>
    </row>
    <row r="62" spans="1:25">
      <c r="A62" s="33" t="s">
        <v>195</v>
      </c>
      <c r="B62" s="36">
        <f>3449.98</f>
        <v>3449.98</v>
      </c>
      <c r="C62" s="36">
        <f>1700</f>
        <v>1700</v>
      </c>
      <c r="D62" s="36">
        <f>1661.24</f>
        <v>1661.24</v>
      </c>
      <c r="E62" s="36">
        <f>1700</f>
        <v>1700</v>
      </c>
      <c r="F62" s="36">
        <f>1658.24</f>
        <v>1658.24</v>
      </c>
      <c r="G62" s="36">
        <f>1700</f>
        <v>1700</v>
      </c>
      <c r="H62" s="36">
        <f>806.62</f>
        <v>806.62</v>
      </c>
      <c r="I62" s="36">
        <f>1700</f>
        <v>1700</v>
      </c>
      <c r="J62" s="36">
        <f>1742.7</f>
        <v>1742.7</v>
      </c>
      <c r="K62" s="36">
        <f>1700</f>
        <v>1700</v>
      </c>
      <c r="L62" s="36">
        <f>1759.7</f>
        <v>1759.7</v>
      </c>
      <c r="M62" s="36">
        <f>1700</f>
        <v>1700</v>
      </c>
      <c r="N62" s="36">
        <f>2689.04</f>
        <v>2689.04</v>
      </c>
      <c r="O62" s="36">
        <f>1700</f>
        <v>1700</v>
      </c>
      <c r="P62" s="36">
        <f>2094.7</f>
        <v>2094.6999999999998</v>
      </c>
      <c r="Q62" s="36">
        <f>1700</f>
        <v>1700</v>
      </c>
      <c r="R62" s="36">
        <f>2421.54</f>
        <v>2421.54</v>
      </c>
      <c r="S62" s="36">
        <f>1700</f>
        <v>1700</v>
      </c>
      <c r="T62" s="36">
        <f>1913.14</f>
        <v>1913.14</v>
      </c>
      <c r="U62" s="36">
        <f>1700</f>
        <v>1700</v>
      </c>
      <c r="V62" s="34">
        <f t="shared" si="7"/>
        <v>20196.900000000001</v>
      </c>
      <c r="W62" s="35">
        <f t="shared" si="7"/>
        <v>17000</v>
      </c>
    </row>
    <row r="63" spans="1:25">
      <c r="A63" s="33" t="s">
        <v>196</v>
      </c>
      <c r="B63" s="30"/>
      <c r="C63" s="30"/>
      <c r="D63" s="30"/>
      <c r="E63" s="30"/>
      <c r="F63" s="36">
        <f>103.72</f>
        <v>103.72</v>
      </c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4">
        <f t="shared" si="7"/>
        <v>103.72</v>
      </c>
      <c r="W63" s="35">
        <f t="shared" si="7"/>
        <v>0</v>
      </c>
    </row>
    <row r="64" spans="1:25">
      <c r="A64" s="33" t="s">
        <v>197</v>
      </c>
      <c r="B64" s="37">
        <f t="shared" ref="B64:U64" si="12">((((((((((B53)+(B54))+(B55))+(B56))+(B57))+(B58))+(B59))+(B60))+(B61))+(B62))+(B63)</f>
        <v>61912.240000000005</v>
      </c>
      <c r="C64" s="37">
        <f t="shared" si="12"/>
        <v>42850</v>
      </c>
      <c r="D64" s="37">
        <f t="shared" si="12"/>
        <v>41724.949999999997</v>
      </c>
      <c r="E64" s="37">
        <f t="shared" si="12"/>
        <v>42850</v>
      </c>
      <c r="F64" s="37">
        <f t="shared" si="12"/>
        <v>39128.19</v>
      </c>
      <c r="G64" s="37">
        <f t="shared" si="12"/>
        <v>42850</v>
      </c>
      <c r="H64" s="37">
        <f t="shared" si="12"/>
        <v>37247.610000000008</v>
      </c>
      <c r="I64" s="37">
        <f t="shared" si="12"/>
        <v>46850</v>
      </c>
      <c r="J64" s="37">
        <f t="shared" si="12"/>
        <v>36884.259999999995</v>
      </c>
      <c r="K64" s="37">
        <f t="shared" si="12"/>
        <v>46850</v>
      </c>
      <c r="L64" s="37">
        <f t="shared" si="12"/>
        <v>35206.93</v>
      </c>
      <c r="M64" s="37">
        <f t="shared" si="12"/>
        <v>46850</v>
      </c>
      <c r="N64" s="37">
        <f t="shared" si="12"/>
        <v>42513</v>
      </c>
      <c r="O64" s="37">
        <f t="shared" si="12"/>
        <v>46850</v>
      </c>
      <c r="P64" s="37">
        <f t="shared" si="12"/>
        <v>36607.74</v>
      </c>
      <c r="Q64" s="37">
        <f t="shared" si="12"/>
        <v>46850</v>
      </c>
      <c r="R64" s="37">
        <f t="shared" si="12"/>
        <v>38381.46</v>
      </c>
      <c r="S64" s="37">
        <f t="shared" si="12"/>
        <v>46850</v>
      </c>
      <c r="T64" s="37">
        <f t="shared" si="12"/>
        <v>37882.379999999997</v>
      </c>
      <c r="U64" s="37">
        <f t="shared" si="12"/>
        <v>46850</v>
      </c>
      <c r="V64" s="38">
        <f t="shared" ref="V64:W97" si="13">(((((((((B64)+(D64))+(F64))+(H64))+(J64))+(L64))+(N64))+(P64))+(R64))+(T64)</f>
        <v>407488.76</v>
      </c>
      <c r="W64" s="39">
        <f t="shared" si="13"/>
        <v>456500</v>
      </c>
    </row>
    <row r="65" spans="1:25">
      <c r="A65" s="33" t="s">
        <v>198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4">
        <f t="shared" si="13"/>
        <v>0</v>
      </c>
      <c r="W65" s="35">
        <f t="shared" si="13"/>
        <v>0</v>
      </c>
    </row>
    <row r="66" spans="1:25">
      <c r="A66" s="33" t="s">
        <v>199</v>
      </c>
      <c r="B66" s="30"/>
      <c r="C66" s="36">
        <f>75</f>
        <v>75</v>
      </c>
      <c r="D66" s="30"/>
      <c r="E66" s="36">
        <f>75</f>
        <v>75</v>
      </c>
      <c r="F66" s="36">
        <f>424.13</f>
        <v>424.13</v>
      </c>
      <c r="G66" s="36">
        <f>75</f>
        <v>75</v>
      </c>
      <c r="H66" s="36">
        <f>31.94</f>
        <v>31.94</v>
      </c>
      <c r="I66" s="36">
        <f>75</f>
        <v>75</v>
      </c>
      <c r="J66" s="36">
        <f>631.36</f>
        <v>631.36</v>
      </c>
      <c r="K66" s="36">
        <f>75</f>
        <v>75</v>
      </c>
      <c r="L66" s="36">
        <f>300.88</f>
        <v>300.88</v>
      </c>
      <c r="M66" s="36">
        <f>75</f>
        <v>75</v>
      </c>
      <c r="N66" s="36">
        <f>152.77</f>
        <v>152.77000000000001</v>
      </c>
      <c r="O66" s="36">
        <f>75</f>
        <v>75</v>
      </c>
      <c r="P66" s="36">
        <f>548.82</f>
        <v>548.82000000000005</v>
      </c>
      <c r="Q66" s="36">
        <f>75</f>
        <v>75</v>
      </c>
      <c r="R66" s="36">
        <f>152.8</f>
        <v>152.80000000000001</v>
      </c>
      <c r="S66" s="36">
        <f>75</f>
        <v>75</v>
      </c>
      <c r="T66" s="36">
        <f>196.47</f>
        <v>196.47</v>
      </c>
      <c r="U66" s="36">
        <f>75</f>
        <v>75</v>
      </c>
      <c r="V66" s="34">
        <f t="shared" si="13"/>
        <v>2439.17</v>
      </c>
      <c r="W66" s="35">
        <f t="shared" si="13"/>
        <v>750</v>
      </c>
    </row>
    <row r="67" spans="1:25">
      <c r="A67" s="33" t="s">
        <v>200</v>
      </c>
      <c r="B67" s="36">
        <f>432.81</f>
        <v>432.81</v>
      </c>
      <c r="C67" s="36">
        <f>440</f>
        <v>440</v>
      </c>
      <c r="D67" s="36">
        <f>439.89</f>
        <v>439.89</v>
      </c>
      <c r="E67" s="36">
        <f>440</f>
        <v>440</v>
      </c>
      <c r="F67" s="36">
        <f>439.37</f>
        <v>439.37</v>
      </c>
      <c r="G67" s="36">
        <f>440</f>
        <v>440</v>
      </c>
      <c r="H67" s="36">
        <f>562.97</f>
        <v>562.97</v>
      </c>
      <c r="I67" s="36">
        <f>440</f>
        <v>440</v>
      </c>
      <c r="J67" s="36">
        <f>463.27</f>
        <v>463.27</v>
      </c>
      <c r="K67" s="36">
        <f>440</f>
        <v>440</v>
      </c>
      <c r="L67" s="36">
        <f>465.11</f>
        <v>465.11</v>
      </c>
      <c r="M67" s="36">
        <f>440</f>
        <v>440</v>
      </c>
      <c r="N67" s="36">
        <f>268.42</f>
        <v>268.42</v>
      </c>
      <c r="O67" s="36">
        <f>440</f>
        <v>440</v>
      </c>
      <c r="P67" s="36">
        <f>246.81</f>
        <v>246.81</v>
      </c>
      <c r="Q67" s="36">
        <f>440</f>
        <v>440</v>
      </c>
      <c r="R67" s="36">
        <f>678.03</f>
        <v>678.03</v>
      </c>
      <c r="S67" s="36">
        <f>440</f>
        <v>440</v>
      </c>
      <c r="T67" s="36">
        <f>88.8</f>
        <v>88.8</v>
      </c>
      <c r="U67" s="36">
        <f>440</f>
        <v>440</v>
      </c>
      <c r="V67" s="34">
        <f t="shared" si="13"/>
        <v>4085.4800000000005</v>
      </c>
      <c r="W67" s="35">
        <f t="shared" si="13"/>
        <v>4400</v>
      </c>
    </row>
    <row r="68" spans="1:25">
      <c r="A68" s="33" t="s">
        <v>201</v>
      </c>
      <c r="B68" s="36">
        <f>1495.85</f>
        <v>1495.85</v>
      </c>
      <c r="C68" s="36">
        <f>800</f>
        <v>800</v>
      </c>
      <c r="D68" s="36">
        <f>818.62</f>
        <v>818.62</v>
      </c>
      <c r="E68" s="36">
        <f>800</f>
        <v>800</v>
      </c>
      <c r="F68" s="36">
        <f>1081.14</f>
        <v>1081.1400000000001</v>
      </c>
      <c r="G68" s="36">
        <f>800</f>
        <v>800</v>
      </c>
      <c r="H68" s="36">
        <f>939.75</f>
        <v>939.75</v>
      </c>
      <c r="I68" s="36">
        <f>800</f>
        <v>800</v>
      </c>
      <c r="J68" s="36">
        <f>921.45</f>
        <v>921.45</v>
      </c>
      <c r="K68" s="36">
        <f>2300</f>
        <v>2300</v>
      </c>
      <c r="L68" s="36">
        <f>166.99</f>
        <v>166.99</v>
      </c>
      <c r="M68" s="36">
        <f>800</f>
        <v>800</v>
      </c>
      <c r="N68" s="36">
        <f>630.53</f>
        <v>630.53</v>
      </c>
      <c r="O68" s="36">
        <f>6000</f>
        <v>6000</v>
      </c>
      <c r="P68" s="36">
        <f>702.05</f>
        <v>702.05</v>
      </c>
      <c r="Q68" s="36">
        <f>800</f>
        <v>800</v>
      </c>
      <c r="R68" s="36">
        <f>1487.55</f>
        <v>1487.55</v>
      </c>
      <c r="S68" s="36">
        <f>2300</f>
        <v>2300</v>
      </c>
      <c r="T68" s="36">
        <f>908.9</f>
        <v>908.9</v>
      </c>
      <c r="U68" s="36">
        <f>800</f>
        <v>800</v>
      </c>
      <c r="V68" s="34">
        <f t="shared" si="13"/>
        <v>9152.8299999999981</v>
      </c>
      <c r="W68" s="35">
        <f t="shared" si="13"/>
        <v>16200</v>
      </c>
      <c r="Y68" t="s">
        <v>202</v>
      </c>
    </row>
    <row r="69" spans="1:25">
      <c r="A69" s="33" t="s">
        <v>203</v>
      </c>
      <c r="B69" s="30"/>
      <c r="C69" s="36">
        <f>0</f>
        <v>0</v>
      </c>
      <c r="D69" s="30"/>
      <c r="E69" s="36">
        <f>0</f>
        <v>0</v>
      </c>
      <c r="F69" s="30"/>
      <c r="G69" s="36">
        <f>0</f>
        <v>0</v>
      </c>
      <c r="H69" s="36">
        <f>1238.4</f>
        <v>1238.4000000000001</v>
      </c>
      <c r="I69" s="36">
        <f>0</f>
        <v>0</v>
      </c>
      <c r="J69" s="36">
        <f>5770.88</f>
        <v>5770.88</v>
      </c>
      <c r="K69" s="36">
        <f>1500</f>
        <v>1500</v>
      </c>
      <c r="L69" s="30"/>
      <c r="M69" s="36">
        <f>7000</f>
        <v>7000</v>
      </c>
      <c r="N69" s="30"/>
      <c r="O69" s="36">
        <f>0</f>
        <v>0</v>
      </c>
      <c r="P69" s="30"/>
      <c r="Q69" s="36">
        <f>0</f>
        <v>0</v>
      </c>
      <c r="R69" s="30"/>
      <c r="S69" s="36">
        <f>0</f>
        <v>0</v>
      </c>
      <c r="T69" s="36">
        <f>4200</f>
        <v>4200</v>
      </c>
      <c r="U69" s="36">
        <f>0</f>
        <v>0</v>
      </c>
      <c r="V69" s="34">
        <f t="shared" si="13"/>
        <v>11209.28</v>
      </c>
      <c r="W69" s="35">
        <f t="shared" si="13"/>
        <v>8500</v>
      </c>
    </row>
    <row r="70" spans="1:25">
      <c r="A70" s="33" t="s">
        <v>204</v>
      </c>
      <c r="B70" s="30"/>
      <c r="C70" s="36">
        <f>0</f>
        <v>0</v>
      </c>
      <c r="D70" s="36">
        <f>571</f>
        <v>571</v>
      </c>
      <c r="E70" s="36">
        <f>0</f>
        <v>0</v>
      </c>
      <c r="F70" s="30"/>
      <c r="G70" s="36">
        <f>0</f>
        <v>0</v>
      </c>
      <c r="H70" s="30"/>
      <c r="I70" s="36">
        <f>16000</f>
        <v>16000</v>
      </c>
      <c r="J70" s="36">
        <f>-571</f>
        <v>-571</v>
      </c>
      <c r="K70" s="36">
        <f>0</f>
        <v>0</v>
      </c>
      <c r="L70" s="30"/>
      <c r="M70" s="36">
        <f>0</f>
        <v>0</v>
      </c>
      <c r="N70" s="30"/>
      <c r="O70" s="36">
        <f>0</f>
        <v>0</v>
      </c>
      <c r="P70" s="36">
        <f>541</f>
        <v>541</v>
      </c>
      <c r="Q70" s="36">
        <f>0</f>
        <v>0</v>
      </c>
      <c r="R70" s="30"/>
      <c r="S70" s="36">
        <f>0</f>
        <v>0</v>
      </c>
      <c r="T70" s="30"/>
      <c r="U70" s="36">
        <f>0</f>
        <v>0</v>
      </c>
      <c r="V70" s="34">
        <f t="shared" si="13"/>
        <v>541</v>
      </c>
      <c r="W70" s="35">
        <f t="shared" si="13"/>
        <v>16000</v>
      </c>
      <c r="Y70" t="s">
        <v>205</v>
      </c>
    </row>
    <row r="71" spans="1:25">
      <c r="A71" s="55" t="s">
        <v>206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7">
        <f t="shared" si="13"/>
        <v>0</v>
      </c>
      <c r="W71" s="58">
        <f t="shared" si="13"/>
        <v>0</v>
      </c>
    </row>
    <row r="72" spans="1:25">
      <c r="A72" s="55" t="s">
        <v>207</v>
      </c>
      <c r="B72" s="59">
        <f>320.6</f>
        <v>320.60000000000002</v>
      </c>
      <c r="C72" s="59">
        <f>300</f>
        <v>300</v>
      </c>
      <c r="D72" s="59">
        <f>387.61</f>
        <v>387.61</v>
      </c>
      <c r="E72" s="59">
        <f>300</f>
        <v>300</v>
      </c>
      <c r="F72" s="59">
        <f>262.72</f>
        <v>262.72000000000003</v>
      </c>
      <c r="G72" s="59">
        <f>300</f>
        <v>300</v>
      </c>
      <c r="H72" s="59">
        <f>202.87</f>
        <v>202.87</v>
      </c>
      <c r="I72" s="59">
        <f>300</f>
        <v>300</v>
      </c>
      <c r="J72" s="59">
        <f>218.44</f>
        <v>218.44</v>
      </c>
      <c r="K72" s="59">
        <f>300</f>
        <v>300</v>
      </c>
      <c r="L72" s="59">
        <f>203.79</f>
        <v>203.79</v>
      </c>
      <c r="M72" s="59">
        <f>300</f>
        <v>300</v>
      </c>
      <c r="N72" s="59">
        <f>245.54</f>
        <v>245.54</v>
      </c>
      <c r="O72" s="59">
        <f>300</f>
        <v>300</v>
      </c>
      <c r="P72" s="59">
        <f>243.37</f>
        <v>243.37</v>
      </c>
      <c r="Q72" s="59">
        <f>300</f>
        <v>300</v>
      </c>
      <c r="R72" s="59">
        <f>256.9</f>
        <v>256.89999999999998</v>
      </c>
      <c r="S72" s="59">
        <f>300</f>
        <v>300</v>
      </c>
      <c r="T72" s="56"/>
      <c r="U72" s="59">
        <f>300</f>
        <v>300</v>
      </c>
      <c r="V72" s="57">
        <f t="shared" si="13"/>
        <v>2341.84</v>
      </c>
      <c r="W72" s="58">
        <f t="shared" si="13"/>
        <v>3000</v>
      </c>
      <c r="Y72" t="s">
        <v>208</v>
      </c>
    </row>
    <row r="73" spans="1:25">
      <c r="A73" s="55" t="s">
        <v>209</v>
      </c>
      <c r="B73" s="59">
        <f>776.81</f>
        <v>776.81</v>
      </c>
      <c r="C73" s="59">
        <f>0</f>
        <v>0</v>
      </c>
      <c r="D73" s="59">
        <f>826.81</f>
        <v>826.81</v>
      </c>
      <c r="E73" s="59">
        <f>0</f>
        <v>0</v>
      </c>
      <c r="F73" s="59">
        <f>776.81</f>
        <v>776.81</v>
      </c>
      <c r="G73" s="59">
        <f>0</f>
        <v>0</v>
      </c>
      <c r="H73" s="59">
        <f>776.81</f>
        <v>776.81</v>
      </c>
      <c r="I73" s="59">
        <f>1200</f>
        <v>1200</v>
      </c>
      <c r="J73" s="59">
        <f>776.81</f>
        <v>776.81</v>
      </c>
      <c r="K73" s="59">
        <f>0</f>
        <v>0</v>
      </c>
      <c r="L73" s="59">
        <f>776.81</f>
        <v>776.81</v>
      </c>
      <c r="M73" s="59">
        <f>6000</f>
        <v>6000</v>
      </c>
      <c r="N73" s="59">
        <f>776.81</f>
        <v>776.81</v>
      </c>
      <c r="O73" s="59">
        <f>0</f>
        <v>0</v>
      </c>
      <c r="P73" s="59">
        <f>517.53</f>
        <v>517.53</v>
      </c>
      <c r="Q73" s="59">
        <f>650</f>
        <v>650</v>
      </c>
      <c r="R73" s="56"/>
      <c r="S73" s="59">
        <f>0</f>
        <v>0</v>
      </c>
      <c r="T73" s="56"/>
      <c r="U73" s="59">
        <f>0</f>
        <v>0</v>
      </c>
      <c r="V73" s="57">
        <f t="shared" si="13"/>
        <v>6005.2</v>
      </c>
      <c r="W73" s="58">
        <f t="shared" si="13"/>
        <v>7850</v>
      </c>
    </row>
    <row r="74" spans="1:25">
      <c r="A74" s="55" t="s">
        <v>210</v>
      </c>
      <c r="B74" s="56"/>
      <c r="C74" s="59">
        <f>45</f>
        <v>45</v>
      </c>
      <c r="D74" s="59">
        <f>85.05</f>
        <v>85.05</v>
      </c>
      <c r="E74" s="59">
        <f>45</f>
        <v>45</v>
      </c>
      <c r="F74" s="59">
        <f>720</f>
        <v>720</v>
      </c>
      <c r="G74" s="59">
        <f>45</f>
        <v>45</v>
      </c>
      <c r="H74" s="56"/>
      <c r="I74" s="59">
        <f>45</f>
        <v>45</v>
      </c>
      <c r="J74" s="56"/>
      <c r="K74" s="59">
        <f>45</f>
        <v>45</v>
      </c>
      <c r="L74" s="56"/>
      <c r="M74" s="59">
        <f>45</f>
        <v>45</v>
      </c>
      <c r="N74" s="59">
        <f>170.1</f>
        <v>170.1</v>
      </c>
      <c r="O74" s="59">
        <f>45</f>
        <v>45</v>
      </c>
      <c r="P74" s="56"/>
      <c r="Q74" s="59">
        <f>45</f>
        <v>45</v>
      </c>
      <c r="R74" s="56"/>
      <c r="S74" s="59">
        <f>45</f>
        <v>45</v>
      </c>
      <c r="T74" s="56"/>
      <c r="U74" s="59">
        <f>45</f>
        <v>45</v>
      </c>
      <c r="V74" s="57">
        <f t="shared" si="13"/>
        <v>975.15</v>
      </c>
      <c r="W74" s="58">
        <f t="shared" si="13"/>
        <v>450</v>
      </c>
    </row>
    <row r="75" spans="1:25">
      <c r="A75" s="55" t="s">
        <v>211</v>
      </c>
      <c r="B75" s="56"/>
      <c r="C75" s="59">
        <f>0</f>
        <v>0</v>
      </c>
      <c r="D75" s="56"/>
      <c r="E75" s="59">
        <f>0</f>
        <v>0</v>
      </c>
      <c r="F75" s="56"/>
      <c r="G75" s="59">
        <f>0</f>
        <v>0</v>
      </c>
      <c r="H75" s="56"/>
      <c r="I75" s="59">
        <f>4200</f>
        <v>4200</v>
      </c>
      <c r="J75" s="59">
        <f>1252.96</f>
        <v>1252.96</v>
      </c>
      <c r="K75" s="59">
        <f>0</f>
        <v>0</v>
      </c>
      <c r="L75" s="59">
        <f>1677.38</f>
        <v>1677.38</v>
      </c>
      <c r="M75" s="59">
        <f>0</f>
        <v>0</v>
      </c>
      <c r="N75" s="59">
        <f>1677.38</f>
        <v>1677.38</v>
      </c>
      <c r="O75" s="59">
        <f>0</f>
        <v>0</v>
      </c>
      <c r="P75" s="59">
        <f>1677.38</f>
        <v>1677.38</v>
      </c>
      <c r="Q75" s="59">
        <f>0</f>
        <v>0</v>
      </c>
      <c r="R75" s="59">
        <f>1677.38</f>
        <v>1677.38</v>
      </c>
      <c r="S75" s="59">
        <f>0</f>
        <v>0</v>
      </c>
      <c r="T75" s="56"/>
      <c r="U75" s="59">
        <f>0</f>
        <v>0</v>
      </c>
      <c r="V75" s="57">
        <f t="shared" si="13"/>
        <v>7962.4800000000005</v>
      </c>
      <c r="W75" s="58">
        <f t="shared" si="13"/>
        <v>4200</v>
      </c>
    </row>
    <row r="76" spans="1:25">
      <c r="A76" s="55" t="s">
        <v>212</v>
      </c>
      <c r="B76" s="59">
        <f>214</f>
        <v>214</v>
      </c>
      <c r="C76" s="59">
        <f>210</f>
        <v>210</v>
      </c>
      <c r="D76" s="59">
        <f>214</f>
        <v>214</v>
      </c>
      <c r="E76" s="59">
        <f>210</f>
        <v>210</v>
      </c>
      <c r="F76" s="59">
        <f>214</f>
        <v>214</v>
      </c>
      <c r="G76" s="59">
        <f>210</f>
        <v>210</v>
      </c>
      <c r="H76" s="59">
        <f>214</f>
        <v>214</v>
      </c>
      <c r="I76" s="59">
        <f>210</f>
        <v>210</v>
      </c>
      <c r="J76" s="59">
        <f>214</f>
        <v>214</v>
      </c>
      <c r="K76" s="59">
        <f>210</f>
        <v>210</v>
      </c>
      <c r="L76" s="59">
        <f>214</f>
        <v>214</v>
      </c>
      <c r="M76" s="59">
        <f>210</f>
        <v>210</v>
      </c>
      <c r="N76" s="59">
        <f>214</f>
        <v>214</v>
      </c>
      <c r="O76" s="59">
        <f>210</f>
        <v>210</v>
      </c>
      <c r="P76" s="59">
        <f>0</f>
        <v>0</v>
      </c>
      <c r="Q76" s="59">
        <f>210</f>
        <v>210</v>
      </c>
      <c r="R76" s="56"/>
      <c r="S76" s="59">
        <f>210</f>
        <v>210</v>
      </c>
      <c r="T76" s="56"/>
      <c r="U76" s="59">
        <f>210</f>
        <v>210</v>
      </c>
      <c r="V76" s="57">
        <f t="shared" si="13"/>
        <v>1498</v>
      </c>
      <c r="W76" s="58">
        <f t="shared" si="13"/>
        <v>2100</v>
      </c>
    </row>
    <row r="77" spans="1:25">
      <c r="A77" s="55" t="s">
        <v>213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9">
        <f>226.03</f>
        <v>226.03</v>
      </c>
      <c r="O77" s="56"/>
      <c r="P77" s="59">
        <f>2876.92</f>
        <v>2876.92</v>
      </c>
      <c r="Q77" s="56"/>
      <c r="R77" s="56"/>
      <c r="S77" s="56"/>
      <c r="T77" s="56"/>
      <c r="U77" s="56"/>
      <c r="V77" s="57">
        <f t="shared" si="13"/>
        <v>3102.9500000000003</v>
      </c>
      <c r="W77" s="58">
        <f t="shared" si="13"/>
        <v>0</v>
      </c>
    </row>
    <row r="78" spans="1:25">
      <c r="A78" s="55" t="s">
        <v>214</v>
      </c>
      <c r="B78" s="60">
        <f t="shared" ref="B78:U78" si="14">((((((B71)+(B72))+(B73))+(B74))+(B75))+(B76))+(B77)</f>
        <v>1311.4099999999999</v>
      </c>
      <c r="C78" s="60">
        <f t="shared" si="14"/>
        <v>555</v>
      </c>
      <c r="D78" s="60">
        <f t="shared" si="14"/>
        <v>1513.47</v>
      </c>
      <c r="E78" s="60">
        <f t="shared" si="14"/>
        <v>555</v>
      </c>
      <c r="F78" s="60">
        <f t="shared" si="14"/>
        <v>1973.53</v>
      </c>
      <c r="G78" s="60">
        <f t="shared" si="14"/>
        <v>555</v>
      </c>
      <c r="H78" s="60">
        <f t="shared" si="14"/>
        <v>1193.6799999999998</v>
      </c>
      <c r="I78" s="60">
        <f t="shared" si="14"/>
        <v>5955</v>
      </c>
      <c r="J78" s="60">
        <f t="shared" si="14"/>
        <v>2462.21</v>
      </c>
      <c r="K78" s="60">
        <f t="shared" si="14"/>
        <v>555</v>
      </c>
      <c r="L78" s="60">
        <f t="shared" si="14"/>
        <v>2871.98</v>
      </c>
      <c r="M78" s="60">
        <f t="shared" si="14"/>
        <v>6555</v>
      </c>
      <c r="N78" s="60">
        <f t="shared" si="14"/>
        <v>3309.86</v>
      </c>
      <c r="O78" s="60">
        <f t="shared" si="14"/>
        <v>555</v>
      </c>
      <c r="P78" s="60">
        <f t="shared" si="14"/>
        <v>5315.2000000000007</v>
      </c>
      <c r="Q78" s="60">
        <f t="shared" si="14"/>
        <v>1205</v>
      </c>
      <c r="R78" s="60">
        <f t="shared" si="14"/>
        <v>1934.2800000000002</v>
      </c>
      <c r="S78" s="60">
        <f t="shared" si="14"/>
        <v>555</v>
      </c>
      <c r="T78" s="60">
        <f t="shared" si="14"/>
        <v>0</v>
      </c>
      <c r="U78" s="60">
        <f t="shared" si="14"/>
        <v>555</v>
      </c>
      <c r="V78" s="61">
        <f t="shared" si="13"/>
        <v>21885.62</v>
      </c>
      <c r="W78" s="62">
        <f t="shared" si="13"/>
        <v>17600</v>
      </c>
    </row>
    <row r="79" spans="1:25">
      <c r="A79" s="33" t="s">
        <v>215</v>
      </c>
      <c r="B79" s="36">
        <f>2183.94</f>
        <v>2183.94</v>
      </c>
      <c r="C79" s="36">
        <f>2500</f>
        <v>2500</v>
      </c>
      <c r="D79" s="36">
        <f>2332.41</f>
        <v>2332.41</v>
      </c>
      <c r="E79" s="36">
        <f>2500</f>
        <v>2500</v>
      </c>
      <c r="F79" s="36">
        <f>5153.29</f>
        <v>5153.29</v>
      </c>
      <c r="G79" s="36">
        <f>2500</f>
        <v>2500</v>
      </c>
      <c r="H79" s="36">
        <f>1726.52</f>
        <v>1726.52</v>
      </c>
      <c r="I79" s="36">
        <f>6000</f>
        <v>6000</v>
      </c>
      <c r="J79" s="36">
        <f>1988.38</f>
        <v>1988.38</v>
      </c>
      <c r="K79" s="36">
        <f>3000</f>
        <v>3000</v>
      </c>
      <c r="L79" s="36">
        <f>1759.45</f>
        <v>1759.45</v>
      </c>
      <c r="M79" s="36">
        <f>3000</f>
        <v>3000</v>
      </c>
      <c r="N79" s="36">
        <f>3878.24</f>
        <v>3878.24</v>
      </c>
      <c r="O79" s="36">
        <f>3000</f>
        <v>3000</v>
      </c>
      <c r="P79" s="36">
        <f>1545.69</f>
        <v>1545.69</v>
      </c>
      <c r="Q79" s="36">
        <f>4000</f>
        <v>4000</v>
      </c>
      <c r="R79" s="36">
        <f>1565.83</f>
        <v>1565.83</v>
      </c>
      <c r="S79" s="36">
        <f>3000</f>
        <v>3000</v>
      </c>
      <c r="T79" s="36">
        <f>2120.46</f>
        <v>2120.46</v>
      </c>
      <c r="U79" s="36">
        <f>3000</f>
        <v>3000</v>
      </c>
      <c r="V79" s="34">
        <f t="shared" si="13"/>
        <v>24254.21</v>
      </c>
      <c r="W79" s="35">
        <f t="shared" si="13"/>
        <v>32500</v>
      </c>
      <c r="Y79" t="s">
        <v>216</v>
      </c>
    </row>
    <row r="80" spans="1:25">
      <c r="A80" s="33" t="s">
        <v>217</v>
      </c>
      <c r="B80" s="36">
        <f>1665.95</f>
        <v>1665.95</v>
      </c>
      <c r="C80" s="36">
        <f>850</f>
        <v>850</v>
      </c>
      <c r="D80" s="36">
        <f>1595.76</f>
        <v>1595.76</v>
      </c>
      <c r="E80" s="36">
        <f>850</f>
        <v>850</v>
      </c>
      <c r="F80" s="36">
        <f>1440.55</f>
        <v>1440.55</v>
      </c>
      <c r="G80" s="36">
        <f>850</f>
        <v>850</v>
      </c>
      <c r="H80" s="36">
        <f>956.13</f>
        <v>956.13</v>
      </c>
      <c r="I80" s="36">
        <f>850</f>
        <v>850</v>
      </c>
      <c r="J80" s="36">
        <f>924.87</f>
        <v>924.87</v>
      </c>
      <c r="K80" s="36">
        <f>850</f>
        <v>850</v>
      </c>
      <c r="L80" s="36">
        <f>1035.45</f>
        <v>1035.45</v>
      </c>
      <c r="M80" s="36">
        <f>850</f>
        <v>850</v>
      </c>
      <c r="N80" s="36">
        <f>887.7</f>
        <v>887.7</v>
      </c>
      <c r="O80" s="36">
        <f>850</f>
        <v>850</v>
      </c>
      <c r="P80" s="36">
        <f>842.92</f>
        <v>842.92</v>
      </c>
      <c r="Q80" s="36">
        <f>850</f>
        <v>850</v>
      </c>
      <c r="R80" s="36">
        <f>258.66</f>
        <v>258.66000000000003</v>
      </c>
      <c r="S80" s="36">
        <f>850</f>
        <v>850</v>
      </c>
      <c r="T80" s="36">
        <f>221.42</f>
        <v>221.42</v>
      </c>
      <c r="U80" s="36">
        <f>850</f>
        <v>850</v>
      </c>
      <c r="V80" s="34">
        <f t="shared" si="13"/>
        <v>9829.41</v>
      </c>
      <c r="W80" s="35">
        <f t="shared" si="13"/>
        <v>8500</v>
      </c>
      <c r="Y80" t="s">
        <v>218</v>
      </c>
    </row>
    <row r="81" spans="1:25">
      <c r="A81" s="33" t="s">
        <v>219</v>
      </c>
      <c r="B81" s="30"/>
      <c r="C81" s="30"/>
      <c r="D81" s="36">
        <f>3.5</f>
        <v>3.5</v>
      </c>
      <c r="E81" s="30"/>
      <c r="F81" s="36">
        <f>34.75</f>
        <v>34.75</v>
      </c>
      <c r="G81" s="30"/>
      <c r="H81" s="36">
        <f>28.25</f>
        <v>28.25</v>
      </c>
      <c r="I81" s="30"/>
      <c r="J81" s="36">
        <f>26.75</f>
        <v>26.75</v>
      </c>
      <c r="K81" s="30"/>
      <c r="L81" s="36">
        <f>28.75</f>
        <v>28.75</v>
      </c>
      <c r="M81" s="30"/>
      <c r="N81" s="36">
        <f>27.75</f>
        <v>27.75</v>
      </c>
      <c r="O81" s="30"/>
      <c r="P81" s="36">
        <f>27.75</f>
        <v>27.75</v>
      </c>
      <c r="Q81" s="30"/>
      <c r="R81" s="36">
        <f>26.25</f>
        <v>26.25</v>
      </c>
      <c r="S81" s="30"/>
      <c r="T81" s="36">
        <f>26.25</f>
        <v>26.25</v>
      </c>
      <c r="U81" s="30"/>
      <c r="V81" s="34">
        <f t="shared" si="13"/>
        <v>230</v>
      </c>
      <c r="W81" s="35">
        <f t="shared" si="13"/>
        <v>0</v>
      </c>
      <c r="Y81" t="s">
        <v>220</v>
      </c>
    </row>
    <row r="82" spans="1:25">
      <c r="A82" s="33" t="s">
        <v>221</v>
      </c>
      <c r="B82" s="37">
        <f t="shared" ref="B82:U82" si="15">(((((((((B65)+(B66))+(B67))+(B68))+(B69))+(B70))+(B78))+(B79))+(B80))+(B81)</f>
        <v>7089.96</v>
      </c>
      <c r="C82" s="37">
        <f t="shared" si="15"/>
        <v>5220</v>
      </c>
      <c r="D82" s="37">
        <f t="shared" si="15"/>
        <v>7274.65</v>
      </c>
      <c r="E82" s="37">
        <f t="shared" si="15"/>
        <v>5220</v>
      </c>
      <c r="F82" s="37">
        <f t="shared" si="15"/>
        <v>10546.759999999998</v>
      </c>
      <c r="G82" s="37">
        <f t="shared" si="15"/>
        <v>5220</v>
      </c>
      <c r="H82" s="37">
        <f t="shared" si="15"/>
        <v>6677.64</v>
      </c>
      <c r="I82" s="37">
        <f t="shared" si="15"/>
        <v>30120</v>
      </c>
      <c r="J82" s="37">
        <f t="shared" si="15"/>
        <v>12618.17</v>
      </c>
      <c r="K82" s="37">
        <f t="shared" si="15"/>
        <v>8720</v>
      </c>
      <c r="L82" s="37">
        <f t="shared" si="15"/>
        <v>6628.61</v>
      </c>
      <c r="M82" s="37">
        <f t="shared" si="15"/>
        <v>18720</v>
      </c>
      <c r="N82" s="37">
        <f t="shared" si="15"/>
        <v>9155.27</v>
      </c>
      <c r="O82" s="37">
        <f t="shared" si="15"/>
        <v>10920</v>
      </c>
      <c r="P82" s="37">
        <f t="shared" si="15"/>
        <v>9770.2400000000016</v>
      </c>
      <c r="Q82" s="37">
        <f t="shared" si="15"/>
        <v>7370</v>
      </c>
      <c r="R82" s="37">
        <f t="shared" si="15"/>
        <v>6103.4</v>
      </c>
      <c r="S82" s="37">
        <f t="shared" si="15"/>
        <v>7220</v>
      </c>
      <c r="T82" s="37">
        <f t="shared" si="15"/>
        <v>7762.3</v>
      </c>
      <c r="U82" s="37">
        <f t="shared" si="15"/>
        <v>5720</v>
      </c>
      <c r="V82" s="38">
        <f t="shared" si="13"/>
        <v>83627</v>
      </c>
      <c r="W82" s="39">
        <f t="shared" si="13"/>
        <v>104450</v>
      </c>
    </row>
    <row r="83" spans="1:25">
      <c r="A83" s="33" t="s">
        <v>222</v>
      </c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4">
        <f t="shared" si="13"/>
        <v>0</v>
      </c>
      <c r="W83" s="35">
        <f t="shared" si="13"/>
        <v>0</v>
      </c>
    </row>
    <row r="84" spans="1:25">
      <c r="A84" s="33" t="s">
        <v>223</v>
      </c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4">
        <f t="shared" si="13"/>
        <v>0</v>
      </c>
      <c r="W84" s="35">
        <f t="shared" si="13"/>
        <v>0</v>
      </c>
    </row>
    <row r="85" spans="1:25">
      <c r="A85" s="33" t="s">
        <v>224</v>
      </c>
      <c r="B85" s="36">
        <f>15154.5</f>
        <v>15154.5</v>
      </c>
      <c r="C85" s="36">
        <f>4500</f>
        <v>4500</v>
      </c>
      <c r="D85" s="36">
        <f>4500</f>
        <v>4500</v>
      </c>
      <c r="E85" s="36">
        <f>4500</f>
        <v>4500</v>
      </c>
      <c r="F85" s="36">
        <f>4500</f>
        <v>4500</v>
      </c>
      <c r="G85" s="36">
        <f>4500</f>
        <v>4500</v>
      </c>
      <c r="H85" s="36">
        <f>4703.35</f>
        <v>4703.3500000000004</v>
      </c>
      <c r="I85" s="36">
        <f>4700</f>
        <v>4700</v>
      </c>
      <c r="J85" s="36">
        <f>4500</f>
        <v>4500</v>
      </c>
      <c r="K85" s="36">
        <f>4500</f>
        <v>4500</v>
      </c>
      <c r="L85" s="36">
        <f>5790.5</f>
        <v>5790.5</v>
      </c>
      <c r="M85" s="36">
        <f>4500</f>
        <v>4500</v>
      </c>
      <c r="N85" s="36">
        <f>4500</f>
        <v>4500</v>
      </c>
      <c r="O85" s="36">
        <f>4500</f>
        <v>4500</v>
      </c>
      <c r="P85" s="36">
        <f>4500</f>
        <v>4500</v>
      </c>
      <c r="Q85" s="36">
        <f>4500</f>
        <v>4500</v>
      </c>
      <c r="R85" s="36">
        <f>4500</f>
        <v>4500</v>
      </c>
      <c r="S85" s="36">
        <f>4500</f>
        <v>4500</v>
      </c>
      <c r="T85" s="36">
        <f>4500</f>
        <v>4500</v>
      </c>
      <c r="U85" s="36">
        <f>4500</f>
        <v>4500</v>
      </c>
      <c r="V85" s="34">
        <f t="shared" si="13"/>
        <v>57148.35</v>
      </c>
      <c r="W85" s="35">
        <f t="shared" si="13"/>
        <v>45200</v>
      </c>
      <c r="Y85" t="s">
        <v>225</v>
      </c>
    </row>
    <row r="86" spans="1:25">
      <c r="A86" s="33" t="s">
        <v>226</v>
      </c>
      <c r="B86" s="37">
        <f t="shared" ref="B86:U86" si="16">(B84)+(B85)</f>
        <v>15154.5</v>
      </c>
      <c r="C86" s="37">
        <f t="shared" si="16"/>
        <v>4500</v>
      </c>
      <c r="D86" s="37">
        <f t="shared" si="16"/>
        <v>4500</v>
      </c>
      <c r="E86" s="37">
        <f t="shared" si="16"/>
        <v>4500</v>
      </c>
      <c r="F86" s="37">
        <f t="shared" si="16"/>
        <v>4500</v>
      </c>
      <c r="G86" s="37">
        <f t="shared" si="16"/>
        <v>4500</v>
      </c>
      <c r="H86" s="37">
        <f t="shared" si="16"/>
        <v>4703.3500000000004</v>
      </c>
      <c r="I86" s="37">
        <f t="shared" si="16"/>
        <v>4700</v>
      </c>
      <c r="J86" s="37">
        <f t="shared" si="16"/>
        <v>4500</v>
      </c>
      <c r="K86" s="37">
        <f t="shared" si="16"/>
        <v>4500</v>
      </c>
      <c r="L86" s="37">
        <f t="shared" si="16"/>
        <v>5790.5</v>
      </c>
      <c r="M86" s="37">
        <f t="shared" si="16"/>
        <v>4500</v>
      </c>
      <c r="N86" s="37">
        <f t="shared" si="16"/>
        <v>4500</v>
      </c>
      <c r="O86" s="37">
        <f t="shared" si="16"/>
        <v>4500</v>
      </c>
      <c r="P86" s="37">
        <f t="shared" si="16"/>
        <v>4500</v>
      </c>
      <c r="Q86" s="37">
        <f t="shared" si="16"/>
        <v>4500</v>
      </c>
      <c r="R86" s="37">
        <f t="shared" si="16"/>
        <v>4500</v>
      </c>
      <c r="S86" s="37">
        <f t="shared" si="16"/>
        <v>4500</v>
      </c>
      <c r="T86" s="37">
        <f t="shared" si="16"/>
        <v>4500</v>
      </c>
      <c r="U86" s="37">
        <f t="shared" si="16"/>
        <v>4500</v>
      </c>
      <c r="V86" s="38">
        <f t="shared" si="13"/>
        <v>57148.35</v>
      </c>
      <c r="W86" s="39">
        <f t="shared" si="13"/>
        <v>45200</v>
      </c>
    </row>
    <row r="87" spans="1:25">
      <c r="A87" s="33" t="s">
        <v>227</v>
      </c>
      <c r="B87" s="36">
        <f>6376.49</f>
        <v>6376.49</v>
      </c>
      <c r="C87" s="36">
        <f>4500</f>
        <v>4500</v>
      </c>
      <c r="D87" s="36">
        <f>7631.47</f>
        <v>7631.47</v>
      </c>
      <c r="E87" s="36">
        <f>3000</f>
        <v>3000</v>
      </c>
      <c r="F87" s="36">
        <f>3835.5</f>
        <v>3835.5</v>
      </c>
      <c r="G87" s="36">
        <f>3000</f>
        <v>3000</v>
      </c>
      <c r="H87" s="36">
        <f>-14542.2</f>
        <v>-14542.2</v>
      </c>
      <c r="I87" s="36">
        <f>24000</f>
        <v>24000</v>
      </c>
      <c r="J87" s="36">
        <f>6936.12</f>
        <v>6936.12</v>
      </c>
      <c r="K87" s="36">
        <f>2500</f>
        <v>2500</v>
      </c>
      <c r="L87" s="36">
        <f>4679.24</f>
        <v>4679.24</v>
      </c>
      <c r="M87" s="36">
        <f>2500</f>
        <v>2500</v>
      </c>
      <c r="N87" s="36">
        <f>3165.38</f>
        <v>3165.38</v>
      </c>
      <c r="O87" s="36">
        <f>2500</f>
        <v>2500</v>
      </c>
      <c r="P87" s="36">
        <f>3478.77</f>
        <v>3478.77</v>
      </c>
      <c r="Q87" s="36">
        <f>2500</f>
        <v>2500</v>
      </c>
      <c r="R87" s="36">
        <f>4255.5</f>
        <v>4255.5</v>
      </c>
      <c r="S87" s="36">
        <f>2500</f>
        <v>2500</v>
      </c>
      <c r="T87" s="36">
        <f>2596.72</f>
        <v>2596.7199999999998</v>
      </c>
      <c r="U87" s="36">
        <f>2500</f>
        <v>2500</v>
      </c>
      <c r="V87" s="34">
        <f t="shared" si="13"/>
        <v>28412.989999999998</v>
      </c>
      <c r="W87" s="35">
        <f t="shared" si="13"/>
        <v>49500</v>
      </c>
    </row>
    <row r="88" spans="1:25">
      <c r="A88" s="33" t="s">
        <v>228</v>
      </c>
      <c r="B88" s="36">
        <f>2000</f>
        <v>2000</v>
      </c>
      <c r="C88" s="36">
        <f>2000</f>
        <v>2000</v>
      </c>
      <c r="D88" s="36">
        <f>2000</f>
        <v>2000</v>
      </c>
      <c r="E88" s="36">
        <f>2000</f>
        <v>2000</v>
      </c>
      <c r="F88" s="36">
        <f>2000</f>
        <v>2000</v>
      </c>
      <c r="G88" s="36">
        <f>2000</f>
        <v>2000</v>
      </c>
      <c r="H88" s="36">
        <f>0</f>
        <v>0</v>
      </c>
      <c r="I88" s="36">
        <f>2000</f>
        <v>2000</v>
      </c>
      <c r="J88" s="36">
        <f>2000</f>
        <v>2000</v>
      </c>
      <c r="K88" s="36">
        <f>2000</f>
        <v>2000</v>
      </c>
      <c r="L88" s="36">
        <f>2000</f>
        <v>2000</v>
      </c>
      <c r="M88" s="36">
        <f>2000</f>
        <v>2000</v>
      </c>
      <c r="N88" s="36">
        <f>2000</f>
        <v>2000</v>
      </c>
      <c r="O88" s="36">
        <f>2000</f>
        <v>2000</v>
      </c>
      <c r="P88" s="36">
        <f>2000</f>
        <v>2000</v>
      </c>
      <c r="Q88" s="36">
        <f>2000</f>
        <v>2000</v>
      </c>
      <c r="R88" s="36">
        <f>2000</f>
        <v>2000</v>
      </c>
      <c r="S88" s="36">
        <f>2000</f>
        <v>2000</v>
      </c>
      <c r="T88" s="36">
        <f>2000</f>
        <v>2000</v>
      </c>
      <c r="U88" s="36">
        <f>2000</f>
        <v>2000</v>
      </c>
      <c r="V88" s="34">
        <f t="shared" si="13"/>
        <v>18000</v>
      </c>
      <c r="W88" s="35">
        <f t="shared" si="13"/>
        <v>20000</v>
      </c>
    </row>
    <row r="89" spans="1:25">
      <c r="A89" s="33" t="s">
        <v>229</v>
      </c>
      <c r="B89" s="36">
        <f>2126.61</f>
        <v>2126.61</v>
      </c>
      <c r="C89" s="36">
        <f>3000</f>
        <v>3000</v>
      </c>
      <c r="D89" s="36">
        <f>2126.61</f>
        <v>2126.61</v>
      </c>
      <c r="E89" s="36">
        <f>3000</f>
        <v>3000</v>
      </c>
      <c r="F89" s="36">
        <f>2126.61</f>
        <v>2126.61</v>
      </c>
      <c r="G89" s="36">
        <f>3000</f>
        <v>3000</v>
      </c>
      <c r="H89" s="36">
        <f>2126.61</f>
        <v>2126.61</v>
      </c>
      <c r="I89" s="36">
        <f>2500</f>
        <v>2500</v>
      </c>
      <c r="J89" s="36">
        <f>2126.61</f>
        <v>2126.61</v>
      </c>
      <c r="K89" s="36">
        <f>2500</f>
        <v>2500</v>
      </c>
      <c r="L89" s="36">
        <f>2370.36</f>
        <v>2370.36</v>
      </c>
      <c r="M89" s="36">
        <f>1500</f>
        <v>1500</v>
      </c>
      <c r="N89" s="36">
        <f>21436.26</f>
        <v>21436.26</v>
      </c>
      <c r="O89" s="36">
        <f>1500</f>
        <v>1500</v>
      </c>
      <c r="P89" s="30"/>
      <c r="Q89" s="36">
        <f>1500</f>
        <v>1500</v>
      </c>
      <c r="R89" s="36">
        <f>4046.25</f>
        <v>4046.25</v>
      </c>
      <c r="S89" s="36">
        <f>500</f>
        <v>500</v>
      </c>
      <c r="T89" s="30"/>
      <c r="U89" s="36">
        <f>500</f>
        <v>500</v>
      </c>
      <c r="V89" s="34">
        <f t="shared" si="13"/>
        <v>38485.919999999998</v>
      </c>
      <c r="W89" s="35">
        <f t="shared" si="13"/>
        <v>19500</v>
      </c>
      <c r="Y89" t="s">
        <v>230</v>
      </c>
    </row>
    <row r="90" spans="1:25">
      <c r="A90" s="33" t="s">
        <v>231</v>
      </c>
      <c r="B90" s="30"/>
      <c r="C90" s="36">
        <f>100</f>
        <v>100</v>
      </c>
      <c r="D90" s="30"/>
      <c r="E90" s="36">
        <f>100</f>
        <v>100</v>
      </c>
      <c r="F90" s="36">
        <f>4250</f>
        <v>4250</v>
      </c>
      <c r="G90" s="36">
        <f>100</f>
        <v>100</v>
      </c>
      <c r="H90" s="36">
        <f>4250</f>
        <v>4250</v>
      </c>
      <c r="I90" s="36">
        <f>100</f>
        <v>100</v>
      </c>
      <c r="J90" s="30"/>
      <c r="K90" s="36">
        <f>100</f>
        <v>100</v>
      </c>
      <c r="L90" s="30"/>
      <c r="M90" s="36">
        <f>100</f>
        <v>100</v>
      </c>
      <c r="N90" s="30"/>
      <c r="O90" s="36">
        <f>100</f>
        <v>100</v>
      </c>
      <c r="P90" s="30"/>
      <c r="Q90" s="36">
        <f>100</f>
        <v>100</v>
      </c>
      <c r="R90" s="30"/>
      <c r="S90" s="36">
        <f>100</f>
        <v>100</v>
      </c>
      <c r="T90" s="30"/>
      <c r="U90" s="36">
        <f>100</f>
        <v>100</v>
      </c>
      <c r="V90" s="34">
        <f t="shared" si="13"/>
        <v>8500</v>
      </c>
      <c r="W90" s="35">
        <f t="shared" si="13"/>
        <v>1000</v>
      </c>
      <c r="Y90" t="s">
        <v>232</v>
      </c>
    </row>
    <row r="91" spans="1:25">
      <c r="A91" s="55" t="s">
        <v>233</v>
      </c>
      <c r="B91" s="59">
        <f>10.03</f>
        <v>10.029999999999999</v>
      </c>
      <c r="C91" s="56"/>
      <c r="D91" s="59">
        <f>4</f>
        <v>4</v>
      </c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7">
        <f t="shared" si="13"/>
        <v>14.03</v>
      </c>
      <c r="W91" s="58">
        <f t="shared" si="13"/>
        <v>0</v>
      </c>
      <c r="Y91" t="s">
        <v>234</v>
      </c>
    </row>
    <row r="92" spans="1:25">
      <c r="A92" s="33" t="s">
        <v>235</v>
      </c>
      <c r="B92" s="37">
        <f t="shared" ref="B92:U92" si="17">((((((B83)+(B86))+(B87))+(B88))+(B89))+(B90))+(B91)</f>
        <v>25667.629999999997</v>
      </c>
      <c r="C92" s="37">
        <f t="shared" si="17"/>
        <v>14100</v>
      </c>
      <c r="D92" s="37">
        <f t="shared" si="17"/>
        <v>16262.080000000002</v>
      </c>
      <c r="E92" s="37">
        <f t="shared" si="17"/>
        <v>12600</v>
      </c>
      <c r="F92" s="37">
        <f t="shared" si="17"/>
        <v>16712.11</v>
      </c>
      <c r="G92" s="37">
        <f t="shared" si="17"/>
        <v>12600</v>
      </c>
      <c r="H92" s="37">
        <f t="shared" si="17"/>
        <v>-3462.24</v>
      </c>
      <c r="I92" s="37">
        <f t="shared" si="17"/>
        <v>33300</v>
      </c>
      <c r="J92" s="37">
        <f t="shared" si="17"/>
        <v>15562.73</v>
      </c>
      <c r="K92" s="37">
        <f t="shared" si="17"/>
        <v>11600</v>
      </c>
      <c r="L92" s="37">
        <f t="shared" si="17"/>
        <v>14840.1</v>
      </c>
      <c r="M92" s="37">
        <f t="shared" si="17"/>
        <v>10600</v>
      </c>
      <c r="N92" s="37">
        <f t="shared" si="17"/>
        <v>31101.64</v>
      </c>
      <c r="O92" s="37">
        <f t="shared" si="17"/>
        <v>10600</v>
      </c>
      <c r="P92" s="37">
        <f t="shared" si="17"/>
        <v>9978.77</v>
      </c>
      <c r="Q92" s="37">
        <f t="shared" si="17"/>
        <v>10600</v>
      </c>
      <c r="R92" s="37">
        <f t="shared" si="17"/>
        <v>14801.75</v>
      </c>
      <c r="S92" s="37">
        <f t="shared" si="17"/>
        <v>9600</v>
      </c>
      <c r="T92" s="37">
        <f t="shared" si="17"/>
        <v>9096.7199999999993</v>
      </c>
      <c r="U92" s="37">
        <f t="shared" si="17"/>
        <v>9600</v>
      </c>
      <c r="V92" s="38">
        <f t="shared" si="13"/>
        <v>150561.29</v>
      </c>
      <c r="W92" s="39">
        <f t="shared" si="13"/>
        <v>135200</v>
      </c>
    </row>
    <row r="93" spans="1:25">
      <c r="A93" s="33" t="s">
        <v>236</v>
      </c>
      <c r="B93" s="36">
        <f>1845.89</f>
        <v>1845.89</v>
      </c>
      <c r="C93" s="36">
        <f>2000</f>
        <v>2000</v>
      </c>
      <c r="D93" s="36">
        <f>1845.89</f>
        <v>1845.89</v>
      </c>
      <c r="E93" s="36">
        <f>2000</f>
        <v>2000</v>
      </c>
      <c r="F93" s="36">
        <f>1845.89</f>
        <v>1845.89</v>
      </c>
      <c r="G93" s="36">
        <f>2000</f>
        <v>2000</v>
      </c>
      <c r="H93" s="36">
        <f>1845.89</f>
        <v>1845.89</v>
      </c>
      <c r="I93" s="36">
        <f>2000</f>
        <v>2000</v>
      </c>
      <c r="J93" s="36">
        <f>1845.89</f>
        <v>1845.89</v>
      </c>
      <c r="K93" s="36">
        <f>2000</f>
        <v>2000</v>
      </c>
      <c r="L93" s="36">
        <f>1845.89</f>
        <v>1845.89</v>
      </c>
      <c r="M93" s="36">
        <f>2000</f>
        <v>2000</v>
      </c>
      <c r="N93" s="36">
        <f>1845.89</f>
        <v>1845.89</v>
      </c>
      <c r="O93" s="36">
        <f>2000</f>
        <v>2000</v>
      </c>
      <c r="P93" s="30"/>
      <c r="Q93" s="36">
        <f>2000</f>
        <v>2000</v>
      </c>
      <c r="R93" s="30"/>
      <c r="S93" s="36">
        <f>2000</f>
        <v>2000</v>
      </c>
      <c r="T93" s="30"/>
      <c r="U93" s="36">
        <f>2000</f>
        <v>2000</v>
      </c>
      <c r="V93" s="34">
        <f t="shared" si="13"/>
        <v>12921.23</v>
      </c>
      <c r="W93" s="35">
        <f t="shared" si="13"/>
        <v>20000</v>
      </c>
      <c r="Y93" t="s">
        <v>237</v>
      </c>
    </row>
    <row r="94" spans="1:25">
      <c r="A94" s="55" t="s">
        <v>238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9">
        <f>82232.13</f>
        <v>82232.13</v>
      </c>
      <c r="Q94" s="56"/>
      <c r="R94" s="56"/>
      <c r="S94" s="56"/>
      <c r="T94" s="56"/>
      <c r="U94" s="56"/>
      <c r="V94" s="57">
        <f t="shared" si="13"/>
        <v>82232.13</v>
      </c>
      <c r="W94" s="58">
        <f t="shared" si="13"/>
        <v>0</v>
      </c>
      <c r="Y94" t="s">
        <v>239</v>
      </c>
    </row>
    <row r="95" spans="1:25">
      <c r="A95" s="33" t="s">
        <v>240</v>
      </c>
      <c r="B95" s="37">
        <f t="shared" ref="B95:U95" si="18">(((((((B44)+(B49))+(B52))+(B64))+(B82))+(B92))+(B93))+(B94)</f>
        <v>105806.55</v>
      </c>
      <c r="C95" s="37">
        <f t="shared" si="18"/>
        <v>88070</v>
      </c>
      <c r="D95" s="37">
        <f t="shared" si="18"/>
        <v>75755.740000000005</v>
      </c>
      <c r="E95" s="37">
        <f t="shared" si="18"/>
        <v>75570</v>
      </c>
      <c r="F95" s="37">
        <f t="shared" si="18"/>
        <v>79289.259999999995</v>
      </c>
      <c r="G95" s="37">
        <f t="shared" si="18"/>
        <v>74570</v>
      </c>
      <c r="H95" s="37">
        <f t="shared" si="18"/>
        <v>51427.280000000006</v>
      </c>
      <c r="I95" s="37">
        <f t="shared" si="18"/>
        <v>134170</v>
      </c>
      <c r="J95" s="37">
        <f t="shared" si="18"/>
        <v>80110.919999999984</v>
      </c>
      <c r="K95" s="37">
        <f t="shared" si="18"/>
        <v>92070</v>
      </c>
      <c r="L95" s="37">
        <f t="shared" si="18"/>
        <v>71743.67</v>
      </c>
      <c r="M95" s="37">
        <f t="shared" si="18"/>
        <v>104070</v>
      </c>
      <c r="N95" s="37">
        <f t="shared" si="18"/>
        <v>92607.59</v>
      </c>
      <c r="O95" s="37">
        <f t="shared" si="18"/>
        <v>96270</v>
      </c>
      <c r="P95" s="37">
        <f t="shared" si="18"/>
        <v>153950.29</v>
      </c>
      <c r="Q95" s="37">
        <f t="shared" si="18"/>
        <v>95720</v>
      </c>
      <c r="R95" s="37">
        <f t="shared" si="18"/>
        <v>79067.760000000009</v>
      </c>
      <c r="S95" s="37">
        <f t="shared" si="18"/>
        <v>87570</v>
      </c>
      <c r="T95" s="37">
        <f t="shared" si="18"/>
        <v>73265.81</v>
      </c>
      <c r="U95" s="37">
        <f t="shared" si="18"/>
        <v>86070</v>
      </c>
      <c r="V95" s="38">
        <f t="shared" si="13"/>
        <v>863024.87000000011</v>
      </c>
      <c r="W95" s="39">
        <f t="shared" si="13"/>
        <v>934150</v>
      </c>
    </row>
    <row r="96" spans="1:25">
      <c r="A96" s="40" t="s">
        <v>241</v>
      </c>
      <c r="B96" s="41">
        <f t="shared" ref="B96:U96" si="19">(B30)-(B95)</f>
        <v>18838.699999999997</v>
      </c>
      <c r="C96" s="41">
        <f t="shared" si="19"/>
        <v>36930</v>
      </c>
      <c r="D96" s="41">
        <f t="shared" si="19"/>
        <v>1121.8199999999924</v>
      </c>
      <c r="E96" s="41">
        <f t="shared" si="19"/>
        <v>39430</v>
      </c>
      <c r="F96" s="41">
        <f t="shared" si="19"/>
        <v>5196.4400000000023</v>
      </c>
      <c r="G96" s="41">
        <f t="shared" si="19"/>
        <v>30430</v>
      </c>
      <c r="H96" s="41">
        <f t="shared" si="19"/>
        <v>16353.68</v>
      </c>
      <c r="I96" s="41">
        <f t="shared" si="19"/>
        <v>-39170</v>
      </c>
      <c r="J96" s="41">
        <f t="shared" si="19"/>
        <v>-17756.959999999985</v>
      </c>
      <c r="K96" s="41">
        <f t="shared" si="19"/>
        <v>-7070</v>
      </c>
      <c r="L96" s="41">
        <f t="shared" si="19"/>
        <v>-25295.629999999997</v>
      </c>
      <c r="M96" s="41">
        <f t="shared" si="19"/>
        <v>-19070</v>
      </c>
      <c r="N96" s="41">
        <f t="shared" si="19"/>
        <v>-47649.78</v>
      </c>
      <c r="O96" s="41">
        <f t="shared" si="19"/>
        <v>-11270</v>
      </c>
      <c r="P96" s="41">
        <f t="shared" si="19"/>
        <v>-64489.41</v>
      </c>
      <c r="Q96" s="41">
        <f t="shared" si="19"/>
        <v>-10720</v>
      </c>
      <c r="R96" s="41">
        <f t="shared" si="19"/>
        <v>3932.429999999993</v>
      </c>
      <c r="S96" s="41">
        <f t="shared" si="19"/>
        <v>-2570</v>
      </c>
      <c r="T96" s="41">
        <f t="shared" si="19"/>
        <v>-70256.899999999994</v>
      </c>
      <c r="U96" s="41">
        <f t="shared" si="19"/>
        <v>-1070</v>
      </c>
      <c r="V96" s="42">
        <f t="shared" si="13"/>
        <v>-180005.61</v>
      </c>
      <c r="W96" s="43">
        <f t="shared" si="13"/>
        <v>15850</v>
      </c>
    </row>
    <row r="97" spans="1:23">
      <c r="A97" s="40" t="s">
        <v>242</v>
      </c>
      <c r="B97" s="41">
        <f t="shared" ref="B97:U97" si="20">(B96)+(0)</f>
        <v>18838.699999999997</v>
      </c>
      <c r="C97" s="41">
        <f t="shared" si="20"/>
        <v>36930</v>
      </c>
      <c r="D97" s="41">
        <f t="shared" si="20"/>
        <v>1121.8199999999924</v>
      </c>
      <c r="E97" s="41">
        <f t="shared" si="20"/>
        <v>39430</v>
      </c>
      <c r="F97" s="41">
        <f t="shared" si="20"/>
        <v>5196.4400000000023</v>
      </c>
      <c r="G97" s="41">
        <f t="shared" si="20"/>
        <v>30430</v>
      </c>
      <c r="H97" s="41">
        <f t="shared" si="20"/>
        <v>16353.68</v>
      </c>
      <c r="I97" s="41">
        <f t="shared" si="20"/>
        <v>-39170</v>
      </c>
      <c r="J97" s="41">
        <f t="shared" si="20"/>
        <v>-17756.959999999985</v>
      </c>
      <c r="K97" s="41">
        <f t="shared" si="20"/>
        <v>-7070</v>
      </c>
      <c r="L97" s="41">
        <f t="shared" si="20"/>
        <v>-25295.629999999997</v>
      </c>
      <c r="M97" s="41">
        <f t="shared" si="20"/>
        <v>-19070</v>
      </c>
      <c r="N97" s="41">
        <f t="shared" si="20"/>
        <v>-47649.78</v>
      </c>
      <c r="O97" s="41">
        <f t="shared" si="20"/>
        <v>-11270</v>
      </c>
      <c r="P97" s="41">
        <f t="shared" si="20"/>
        <v>-64489.41</v>
      </c>
      <c r="Q97" s="41">
        <f t="shared" si="20"/>
        <v>-10720</v>
      </c>
      <c r="R97" s="41">
        <f t="shared" si="20"/>
        <v>3932.429999999993</v>
      </c>
      <c r="S97" s="41">
        <f t="shared" si="20"/>
        <v>-2570</v>
      </c>
      <c r="T97" s="41">
        <f t="shared" si="20"/>
        <v>-70256.899999999994</v>
      </c>
      <c r="U97" s="41">
        <f t="shared" si="20"/>
        <v>-1070</v>
      </c>
      <c r="V97" s="42">
        <f t="shared" si="13"/>
        <v>-180005.61</v>
      </c>
      <c r="W97" s="43">
        <f t="shared" si="13"/>
        <v>15850</v>
      </c>
    </row>
    <row r="98" spans="1:23">
      <c r="A98" s="44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6"/>
      <c r="W98" s="47"/>
    </row>
    <row r="101" spans="1:23">
      <c r="A101" s="96" t="s">
        <v>243</v>
      </c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</row>
  </sheetData>
  <mergeCells count="15">
    <mergeCell ref="A101:W101"/>
    <mergeCell ref="A1:W1"/>
    <mergeCell ref="A2:W2"/>
    <mergeCell ref="A3:W3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topLeftCell="D75" workbookViewId="0">
      <selection activeCell="D16" sqref="D16"/>
    </sheetView>
  </sheetViews>
  <sheetFormatPr defaultRowHeight="15"/>
  <cols>
    <col min="3" max="3" width="53" bestFit="1" customWidth="1"/>
    <col min="4" max="4" width="42.5703125" bestFit="1" customWidth="1"/>
    <col min="6" max="6" width="13.5703125" customWidth="1"/>
    <col min="7" max="7" width="18.140625" customWidth="1"/>
    <col min="8" max="19" width="11.140625" style="8" customWidth="1"/>
    <col min="20" max="20" width="12.140625" bestFit="1" customWidth="1"/>
  </cols>
  <sheetData>
    <row r="1" spans="1:20">
      <c r="A1" s="1"/>
      <c r="B1" s="1"/>
      <c r="C1" s="1"/>
      <c r="D1" s="1"/>
      <c r="E1" s="88"/>
      <c r="F1" s="88"/>
      <c r="G1" s="2"/>
    </row>
    <row r="2" spans="1:20" ht="20.25">
      <c r="A2" s="1"/>
      <c r="B2" s="95" t="s">
        <v>244</v>
      </c>
      <c r="C2" s="95"/>
      <c r="D2" s="95"/>
      <c r="E2" s="95"/>
      <c r="F2" s="95"/>
      <c r="G2" s="95"/>
    </row>
    <row r="3" spans="1:20">
      <c r="A3" s="1"/>
      <c r="B3" s="1"/>
      <c r="C3" s="1"/>
      <c r="D3" s="1"/>
      <c r="E3" s="88"/>
      <c r="F3" s="88"/>
      <c r="G3" s="3"/>
    </row>
    <row r="4" spans="1:20">
      <c r="A4" s="1"/>
      <c r="B4" s="1"/>
      <c r="C4" s="1"/>
      <c r="D4" s="1"/>
      <c r="E4" s="88"/>
      <c r="F4" s="88"/>
      <c r="G4" s="3"/>
    </row>
    <row r="5" spans="1:20">
      <c r="A5" s="1"/>
      <c r="B5" s="1" t="s">
        <v>1</v>
      </c>
      <c r="C5" s="1"/>
      <c r="D5" s="1"/>
      <c r="E5" s="88"/>
      <c r="F5" s="88"/>
      <c r="G5" s="2"/>
    </row>
    <row r="6" spans="1:20">
      <c r="A6" s="1"/>
      <c r="B6" s="1"/>
      <c r="C6" s="1" t="s">
        <v>2</v>
      </c>
      <c r="D6" s="1"/>
      <c r="E6" s="88"/>
      <c r="F6" s="88"/>
      <c r="G6" s="2"/>
      <c r="H6" s="8" t="s">
        <v>3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  <c r="P6" s="8" t="s">
        <v>11</v>
      </c>
      <c r="Q6" s="8" t="s">
        <v>12</v>
      </c>
      <c r="R6" s="8" t="s">
        <v>13</v>
      </c>
      <c r="S6" s="8" t="s">
        <v>14</v>
      </c>
      <c r="T6" s="8" t="s">
        <v>120</v>
      </c>
    </row>
    <row r="7" spans="1:20">
      <c r="A7" s="1"/>
      <c r="B7" s="1"/>
      <c r="C7" s="1"/>
      <c r="D7" s="1" t="s">
        <v>15</v>
      </c>
      <c r="E7" s="88"/>
      <c r="F7" s="88"/>
      <c r="G7" s="4">
        <f>T7</f>
        <v>360000</v>
      </c>
      <c r="H7" s="9">
        <v>30000</v>
      </c>
      <c r="I7" s="9">
        <v>30000</v>
      </c>
      <c r="J7" s="9">
        <v>30000</v>
      </c>
      <c r="K7" s="9">
        <v>30000</v>
      </c>
      <c r="L7" s="9">
        <v>30000</v>
      </c>
      <c r="M7" s="9">
        <v>30000</v>
      </c>
      <c r="N7" s="9">
        <v>30000</v>
      </c>
      <c r="O7" s="9">
        <v>30000</v>
      </c>
      <c r="P7" s="9">
        <v>30000</v>
      </c>
      <c r="Q7" s="9">
        <v>30000</v>
      </c>
      <c r="R7" s="9">
        <v>30000</v>
      </c>
      <c r="S7" s="9">
        <v>30000</v>
      </c>
      <c r="T7" s="9">
        <f t="shared" ref="T7:T12" si="0">SUM(H7:S7)</f>
        <v>360000</v>
      </c>
    </row>
    <row r="8" spans="1:20">
      <c r="A8" s="1"/>
      <c r="B8" s="1"/>
      <c r="C8" s="1"/>
      <c r="D8" s="1" t="s">
        <v>16</v>
      </c>
      <c r="E8" s="88"/>
      <c r="F8" s="88"/>
      <c r="G8" s="4">
        <f t="shared" ref="G8:G26" si="1">T8</f>
        <v>180000</v>
      </c>
      <c r="H8" s="9">
        <v>15000</v>
      </c>
      <c r="I8" s="9">
        <v>15000</v>
      </c>
      <c r="J8" s="9">
        <v>15000</v>
      </c>
      <c r="K8" s="9">
        <v>15000</v>
      </c>
      <c r="L8" s="9">
        <v>15000</v>
      </c>
      <c r="M8" s="9">
        <v>15000</v>
      </c>
      <c r="N8" s="9">
        <v>15000</v>
      </c>
      <c r="O8" s="9">
        <v>15000</v>
      </c>
      <c r="P8" s="9">
        <v>15000</v>
      </c>
      <c r="Q8" s="9">
        <v>15000</v>
      </c>
      <c r="R8" s="9">
        <v>15000</v>
      </c>
      <c r="S8" s="9">
        <v>15000</v>
      </c>
      <c r="T8" s="9">
        <f t="shared" si="0"/>
        <v>180000</v>
      </c>
    </row>
    <row r="9" spans="1:20">
      <c r="A9" s="1"/>
      <c r="B9" s="1"/>
      <c r="C9" s="1"/>
      <c r="D9" s="1" t="s">
        <v>17</v>
      </c>
      <c r="E9" s="88"/>
      <c r="F9" s="88"/>
      <c r="G9" s="4">
        <f t="shared" si="1"/>
        <v>300000</v>
      </c>
      <c r="H9" s="9">
        <v>25000</v>
      </c>
      <c r="I9" s="9">
        <v>25000</v>
      </c>
      <c r="J9" s="9">
        <v>25000</v>
      </c>
      <c r="K9" s="9">
        <v>25000</v>
      </c>
      <c r="L9" s="9">
        <v>25000</v>
      </c>
      <c r="M9" s="9">
        <v>25000</v>
      </c>
      <c r="N9" s="9">
        <v>25000</v>
      </c>
      <c r="O9" s="9">
        <v>25000</v>
      </c>
      <c r="P9" s="9">
        <v>25000</v>
      </c>
      <c r="Q9" s="9">
        <v>25000</v>
      </c>
      <c r="R9" s="9">
        <v>25000</v>
      </c>
      <c r="S9" s="9">
        <v>25000</v>
      </c>
      <c r="T9" s="9">
        <f t="shared" si="0"/>
        <v>300000</v>
      </c>
    </row>
    <row r="10" spans="1:20">
      <c r="A10" s="1"/>
      <c r="B10" s="1"/>
      <c r="C10" s="1"/>
      <c r="D10" s="1" t="s">
        <v>18</v>
      </c>
      <c r="E10" s="88"/>
      <c r="F10" s="88"/>
      <c r="G10" s="4">
        <f t="shared" si="1"/>
        <v>30000</v>
      </c>
      <c r="H10" s="9">
        <v>2500</v>
      </c>
      <c r="I10" s="9">
        <v>2500</v>
      </c>
      <c r="J10" s="9">
        <v>2500</v>
      </c>
      <c r="K10" s="9">
        <v>2500</v>
      </c>
      <c r="L10" s="9">
        <v>2500</v>
      </c>
      <c r="M10" s="9">
        <v>2500</v>
      </c>
      <c r="N10" s="9">
        <v>2500</v>
      </c>
      <c r="O10" s="9">
        <v>2500</v>
      </c>
      <c r="P10" s="9">
        <v>2500</v>
      </c>
      <c r="Q10" s="9">
        <v>2500</v>
      </c>
      <c r="R10" s="9">
        <v>2500</v>
      </c>
      <c r="S10" s="9">
        <v>2500</v>
      </c>
      <c r="T10" s="9">
        <f t="shared" si="0"/>
        <v>30000</v>
      </c>
    </row>
    <row r="11" spans="1:20">
      <c r="A11" s="1"/>
      <c r="B11" s="1"/>
      <c r="C11" s="1"/>
      <c r="D11" s="1" t="s">
        <v>19</v>
      </c>
      <c r="E11" s="88"/>
      <c r="F11" s="88"/>
      <c r="G11" s="4">
        <f t="shared" si="1"/>
        <v>30000</v>
      </c>
      <c r="H11" s="9">
        <v>2500</v>
      </c>
      <c r="I11" s="9">
        <v>2500</v>
      </c>
      <c r="J11" s="9">
        <v>2500</v>
      </c>
      <c r="K11" s="9">
        <v>2500</v>
      </c>
      <c r="L11" s="9">
        <v>2500</v>
      </c>
      <c r="M11" s="9">
        <v>2500</v>
      </c>
      <c r="N11" s="9">
        <v>2500</v>
      </c>
      <c r="O11" s="9">
        <v>2500</v>
      </c>
      <c r="P11" s="9">
        <v>2500</v>
      </c>
      <c r="Q11" s="9">
        <v>2500</v>
      </c>
      <c r="R11" s="9">
        <v>2500</v>
      </c>
      <c r="S11" s="9">
        <v>2500</v>
      </c>
      <c r="T11" s="9">
        <f t="shared" si="0"/>
        <v>30000</v>
      </c>
    </row>
    <row r="12" spans="1:20">
      <c r="A12" s="1"/>
      <c r="B12" s="1"/>
      <c r="C12" s="1"/>
      <c r="D12" s="1" t="s">
        <v>21</v>
      </c>
      <c r="E12" s="1"/>
      <c r="F12" s="1"/>
      <c r="G12" s="4">
        <f t="shared" si="1"/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f t="shared" si="0"/>
        <v>0</v>
      </c>
    </row>
    <row r="13" spans="1:20">
      <c r="A13" s="1"/>
      <c r="B13" s="1"/>
      <c r="C13" s="5" t="s">
        <v>22</v>
      </c>
      <c r="D13" s="5"/>
      <c r="E13" s="102"/>
      <c r="F13" s="102"/>
      <c r="G13" s="4">
        <f t="shared" si="1"/>
        <v>900000</v>
      </c>
      <c r="H13" s="9">
        <f t="shared" ref="H13:S13" si="2">SUM(H7:H12)</f>
        <v>75000</v>
      </c>
      <c r="I13" s="9">
        <f t="shared" si="2"/>
        <v>75000</v>
      </c>
      <c r="J13" s="9">
        <f t="shared" si="2"/>
        <v>75000</v>
      </c>
      <c r="K13" s="9">
        <f t="shared" si="2"/>
        <v>75000</v>
      </c>
      <c r="L13" s="9">
        <f t="shared" si="2"/>
        <v>75000</v>
      </c>
      <c r="M13" s="9">
        <f t="shared" si="2"/>
        <v>75000</v>
      </c>
      <c r="N13" s="9">
        <f t="shared" si="2"/>
        <v>75000</v>
      </c>
      <c r="O13" s="9">
        <f t="shared" si="2"/>
        <v>75000</v>
      </c>
      <c r="P13" s="9">
        <f t="shared" si="2"/>
        <v>75000</v>
      </c>
      <c r="Q13" s="9">
        <f t="shared" si="2"/>
        <v>75000</v>
      </c>
      <c r="R13" s="9">
        <f t="shared" si="2"/>
        <v>75000</v>
      </c>
      <c r="S13" s="9">
        <f t="shared" si="2"/>
        <v>75000</v>
      </c>
      <c r="T13" s="9">
        <f>SUM(T7:T12)</f>
        <v>900000</v>
      </c>
    </row>
    <row r="14" spans="1:20">
      <c r="A14" s="1"/>
      <c r="B14" s="1"/>
      <c r="C14" s="1" t="s">
        <v>23</v>
      </c>
      <c r="D14" s="1"/>
      <c r="E14" s="88"/>
      <c r="F14" s="88"/>
      <c r="G14" s="6"/>
      <c r="T14" s="8"/>
    </row>
    <row r="15" spans="1:20">
      <c r="A15" s="1"/>
      <c r="B15" s="1"/>
      <c r="C15" s="1"/>
      <c r="D15" s="1" t="s">
        <v>245</v>
      </c>
      <c r="E15" s="88"/>
      <c r="F15" s="88"/>
      <c r="G15" s="4">
        <f t="shared" si="1"/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f>SUM(H15:S15)</f>
        <v>0</v>
      </c>
    </row>
    <row r="16" spans="1:20">
      <c r="A16" s="1"/>
      <c r="B16" s="1"/>
      <c r="C16" s="1"/>
      <c r="D16" s="1" t="s">
        <v>24</v>
      </c>
      <c r="E16" s="88"/>
      <c r="F16" s="88"/>
      <c r="G16" s="4">
        <f t="shared" si="1"/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f>SUM(H16:S16)</f>
        <v>0</v>
      </c>
    </row>
    <row r="17" spans="1:20">
      <c r="A17" s="1"/>
      <c r="B17" s="1"/>
      <c r="C17" s="5" t="s">
        <v>25</v>
      </c>
      <c r="D17" s="5"/>
      <c r="E17" s="102"/>
      <c r="F17" s="102"/>
      <c r="G17" s="4">
        <f t="shared" si="1"/>
        <v>0</v>
      </c>
      <c r="H17" s="9">
        <f>SUM(H15:H16)</f>
        <v>0</v>
      </c>
      <c r="I17" s="9">
        <f t="shared" ref="I17:T17" si="3">SUM(I15:I16)</f>
        <v>0</v>
      </c>
      <c r="J17" s="9">
        <f t="shared" si="3"/>
        <v>0</v>
      </c>
      <c r="K17" s="9">
        <f t="shared" si="3"/>
        <v>0</v>
      </c>
      <c r="L17" s="9">
        <f t="shared" si="3"/>
        <v>0</v>
      </c>
      <c r="M17" s="9">
        <f t="shared" si="3"/>
        <v>0</v>
      </c>
      <c r="N17" s="9">
        <f t="shared" si="3"/>
        <v>0</v>
      </c>
      <c r="O17" s="9">
        <f t="shared" si="3"/>
        <v>0</v>
      </c>
      <c r="P17" s="9">
        <f t="shared" si="3"/>
        <v>0</v>
      </c>
      <c r="Q17" s="9">
        <f t="shared" si="3"/>
        <v>0</v>
      </c>
      <c r="R17" s="9">
        <f t="shared" si="3"/>
        <v>0</v>
      </c>
      <c r="S17" s="9">
        <f t="shared" si="3"/>
        <v>0</v>
      </c>
      <c r="T17" s="9">
        <f t="shared" si="3"/>
        <v>0</v>
      </c>
    </row>
    <row r="18" spans="1:20">
      <c r="A18" s="1"/>
      <c r="B18" s="1"/>
      <c r="C18" s="1" t="s">
        <v>26</v>
      </c>
      <c r="D18" s="1"/>
      <c r="E18" s="88"/>
      <c r="F18" s="88"/>
      <c r="G18" s="6"/>
      <c r="T18" s="8"/>
    </row>
    <row r="19" spans="1:20">
      <c r="A19" s="1"/>
      <c r="B19" s="1"/>
      <c r="C19" s="1"/>
      <c r="D19" s="1" t="s">
        <v>27</v>
      </c>
      <c r="E19" s="88"/>
      <c r="F19" s="88"/>
      <c r="G19" s="4">
        <f t="shared" si="1"/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f>L19</f>
        <v>0</v>
      </c>
    </row>
    <row r="20" spans="1:20">
      <c r="A20" s="1"/>
      <c r="B20" s="1"/>
      <c r="C20" s="1"/>
      <c r="D20" s="1" t="s">
        <v>28</v>
      </c>
      <c r="E20" s="88"/>
      <c r="F20" s="88"/>
      <c r="G20" s="4">
        <f t="shared" si="1"/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f>L20</f>
        <v>0</v>
      </c>
    </row>
    <row r="21" spans="1:20">
      <c r="A21" s="1"/>
      <c r="B21" s="1"/>
      <c r="C21" s="1" t="s">
        <v>29</v>
      </c>
      <c r="D21" s="1"/>
      <c r="E21" s="88"/>
      <c r="F21" s="88"/>
      <c r="G21" s="4">
        <f t="shared" si="1"/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</row>
    <row r="22" spans="1:20">
      <c r="A22" s="1"/>
      <c r="B22" s="1"/>
      <c r="C22" s="1" t="s">
        <v>30</v>
      </c>
      <c r="D22" s="1"/>
      <c r="E22" s="88"/>
      <c r="F22" s="88"/>
      <c r="G22" s="4">
        <f t="shared" si="1"/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f>SUM(H22:S22)</f>
        <v>0</v>
      </c>
    </row>
    <row r="23" spans="1:20">
      <c r="A23" s="1"/>
      <c r="B23" s="1"/>
      <c r="C23" s="1" t="s">
        <v>32</v>
      </c>
      <c r="D23" s="1"/>
      <c r="E23" s="88"/>
      <c r="F23" s="88"/>
      <c r="G23" s="4">
        <f t="shared" si="1"/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f>SUM(H23:S23)</f>
        <v>0</v>
      </c>
    </row>
    <row r="24" spans="1:20">
      <c r="A24" s="1"/>
      <c r="B24" s="1"/>
      <c r="C24" s="1" t="s">
        <v>246</v>
      </c>
      <c r="D24" s="1"/>
      <c r="E24" s="1"/>
      <c r="F24" s="1"/>
      <c r="G24" s="4">
        <f t="shared" ref="G24:G25" si="4">T24</f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f t="shared" ref="T24:T25" si="5">SUM(H24:S24)</f>
        <v>0</v>
      </c>
    </row>
    <row r="25" spans="1:20">
      <c r="A25" s="1"/>
      <c r="B25" s="1"/>
      <c r="C25" s="1" t="s">
        <v>247</v>
      </c>
      <c r="D25" s="1"/>
      <c r="E25" s="1"/>
      <c r="F25" s="1"/>
      <c r="G25" s="4">
        <f t="shared" si="4"/>
        <v>220000</v>
      </c>
      <c r="H25" s="9">
        <v>50000</v>
      </c>
      <c r="I25" s="9">
        <v>40000</v>
      </c>
      <c r="J25" s="9">
        <v>30000</v>
      </c>
      <c r="K25" s="9">
        <v>20000</v>
      </c>
      <c r="L25" s="9">
        <v>10000</v>
      </c>
      <c r="M25" s="9">
        <v>10000</v>
      </c>
      <c r="N25" s="9">
        <v>10000</v>
      </c>
      <c r="O25" s="9">
        <v>10000</v>
      </c>
      <c r="P25" s="9">
        <v>10000</v>
      </c>
      <c r="Q25" s="9">
        <v>10000</v>
      </c>
      <c r="R25" s="9">
        <v>10000</v>
      </c>
      <c r="S25" s="9">
        <v>10000</v>
      </c>
      <c r="T25" s="9">
        <f t="shared" si="5"/>
        <v>220000</v>
      </c>
    </row>
    <row r="26" spans="1:20">
      <c r="A26" s="1"/>
      <c r="B26" s="5" t="s">
        <v>33</v>
      </c>
      <c r="C26" s="5"/>
      <c r="D26" s="5"/>
      <c r="E26" s="102"/>
      <c r="F26" s="102"/>
      <c r="G26" s="4">
        <f t="shared" si="1"/>
        <v>1120000</v>
      </c>
      <c r="H26" s="9">
        <f>(SUM(H19:H25))+H17+H13</f>
        <v>125000</v>
      </c>
      <c r="I26" s="9">
        <f t="shared" ref="I26:T26" si="6">(SUM(I19:I25))+I17+I13</f>
        <v>115000</v>
      </c>
      <c r="J26" s="9">
        <f t="shared" si="6"/>
        <v>105000</v>
      </c>
      <c r="K26" s="9">
        <f t="shared" si="6"/>
        <v>95000</v>
      </c>
      <c r="L26" s="9">
        <f t="shared" si="6"/>
        <v>85000</v>
      </c>
      <c r="M26" s="9">
        <f t="shared" si="6"/>
        <v>85000</v>
      </c>
      <c r="N26" s="9">
        <f t="shared" si="6"/>
        <v>85000</v>
      </c>
      <c r="O26" s="9">
        <f t="shared" si="6"/>
        <v>85000</v>
      </c>
      <c r="P26" s="9">
        <f t="shared" si="6"/>
        <v>85000</v>
      </c>
      <c r="Q26" s="9">
        <f t="shared" si="6"/>
        <v>85000</v>
      </c>
      <c r="R26" s="9">
        <f t="shared" si="6"/>
        <v>85000</v>
      </c>
      <c r="S26" s="9">
        <f t="shared" si="6"/>
        <v>85000</v>
      </c>
      <c r="T26" s="9">
        <f t="shared" si="6"/>
        <v>1120000</v>
      </c>
    </row>
    <row r="27" spans="1:20">
      <c r="A27" s="1"/>
      <c r="B27" s="1"/>
      <c r="C27" s="1"/>
      <c r="D27" s="1"/>
      <c r="E27" s="88"/>
      <c r="F27" s="88"/>
      <c r="G27" s="2"/>
    </row>
    <row r="28" spans="1:20">
      <c r="A28" s="1"/>
      <c r="B28" s="1" t="s">
        <v>34</v>
      </c>
      <c r="C28" s="1"/>
      <c r="D28" s="1"/>
      <c r="E28" s="88"/>
      <c r="F28" s="88"/>
      <c r="G28" s="2"/>
      <c r="T28" s="8"/>
    </row>
    <row r="29" spans="1:20">
      <c r="A29" s="1"/>
      <c r="B29" s="1"/>
      <c r="C29" s="1" t="s">
        <v>35</v>
      </c>
      <c r="D29" s="1"/>
      <c r="E29" s="88"/>
      <c r="F29" s="88"/>
      <c r="G29" s="2"/>
    </row>
    <row r="30" spans="1:20">
      <c r="A30" s="1"/>
      <c r="B30" s="1"/>
      <c r="C30" s="1"/>
      <c r="D30" s="1" t="s">
        <v>36</v>
      </c>
      <c r="E30" s="88"/>
      <c r="F30" s="88"/>
      <c r="G30" s="7">
        <f t="shared" ref="G30:G81" si="7">T30</f>
        <v>68000</v>
      </c>
      <c r="H30" s="9">
        <v>5000</v>
      </c>
      <c r="I30" s="9">
        <v>6000</v>
      </c>
      <c r="J30" s="9">
        <v>5000</v>
      </c>
      <c r="K30" s="9">
        <v>5000</v>
      </c>
      <c r="L30" s="9">
        <v>6000</v>
      </c>
      <c r="M30" s="9">
        <v>5000</v>
      </c>
      <c r="N30" s="9">
        <v>5000</v>
      </c>
      <c r="O30" s="9">
        <v>10000</v>
      </c>
      <c r="P30" s="9">
        <v>5000</v>
      </c>
      <c r="Q30" s="9">
        <v>5000</v>
      </c>
      <c r="R30" s="9">
        <v>6000</v>
      </c>
      <c r="S30" s="9">
        <v>5000</v>
      </c>
      <c r="T30" s="9">
        <f>SUM(H30:S30)</f>
        <v>68000</v>
      </c>
    </row>
    <row r="31" spans="1:20">
      <c r="A31" s="1"/>
      <c r="B31" s="1"/>
      <c r="C31" s="1"/>
      <c r="D31" s="1" t="s">
        <v>38</v>
      </c>
      <c r="E31" s="88"/>
      <c r="F31" s="88"/>
      <c r="G31" s="7">
        <f t="shared" si="7"/>
        <v>24000</v>
      </c>
      <c r="H31" s="9">
        <v>2000</v>
      </c>
      <c r="I31" s="9">
        <v>2000</v>
      </c>
      <c r="J31" s="9">
        <v>2000</v>
      </c>
      <c r="K31" s="9">
        <v>2000</v>
      </c>
      <c r="L31" s="9">
        <v>2000</v>
      </c>
      <c r="M31" s="9">
        <v>2000</v>
      </c>
      <c r="N31" s="9">
        <v>2000</v>
      </c>
      <c r="O31" s="9">
        <v>2000</v>
      </c>
      <c r="P31" s="9">
        <v>2000</v>
      </c>
      <c r="Q31" s="9">
        <v>2000</v>
      </c>
      <c r="R31" s="9">
        <v>2000</v>
      </c>
      <c r="S31" s="9">
        <v>2000</v>
      </c>
      <c r="T31" s="9">
        <f t="shared" ref="T31:T34" si="8">SUM(H31:S31)</f>
        <v>24000</v>
      </c>
    </row>
    <row r="32" spans="1:20">
      <c r="A32" s="1"/>
      <c r="B32" s="1"/>
      <c r="C32" s="1"/>
      <c r="D32" s="1" t="s">
        <v>39</v>
      </c>
      <c r="E32" s="88"/>
      <c r="F32" s="88"/>
      <c r="G32" s="7">
        <f t="shared" si="7"/>
        <v>30000</v>
      </c>
      <c r="H32" s="9">
        <v>2500</v>
      </c>
      <c r="I32" s="9">
        <v>2500</v>
      </c>
      <c r="J32" s="9">
        <v>2500</v>
      </c>
      <c r="K32" s="9">
        <v>2500</v>
      </c>
      <c r="L32" s="9">
        <v>2500</v>
      </c>
      <c r="M32" s="9">
        <v>2500</v>
      </c>
      <c r="N32" s="9">
        <v>2500</v>
      </c>
      <c r="O32" s="9">
        <v>2500</v>
      </c>
      <c r="P32" s="9">
        <v>2500</v>
      </c>
      <c r="Q32" s="9">
        <v>2500</v>
      </c>
      <c r="R32" s="9">
        <v>2500</v>
      </c>
      <c r="S32" s="9">
        <v>2500</v>
      </c>
      <c r="T32" s="9">
        <f t="shared" si="8"/>
        <v>30000</v>
      </c>
    </row>
    <row r="33" spans="1:20">
      <c r="A33" s="1"/>
      <c r="B33" s="1"/>
      <c r="C33" s="1"/>
      <c r="D33" s="1" t="s">
        <v>248</v>
      </c>
      <c r="E33" s="88"/>
      <c r="F33" s="88"/>
      <c r="G33" s="7">
        <f t="shared" si="7"/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f t="shared" si="8"/>
        <v>0</v>
      </c>
    </row>
    <row r="34" spans="1:20">
      <c r="A34" s="1"/>
      <c r="B34" s="1"/>
      <c r="C34" s="1"/>
      <c r="D34" s="1" t="s">
        <v>40</v>
      </c>
      <c r="E34" s="88"/>
      <c r="F34" s="88"/>
      <c r="G34" s="7">
        <f t="shared" si="7"/>
        <v>90210</v>
      </c>
      <c r="H34" s="9">
        <v>0</v>
      </c>
      <c r="I34" s="9">
        <v>0</v>
      </c>
      <c r="J34" s="9">
        <v>0</v>
      </c>
      <c r="K34" s="9">
        <v>10000</v>
      </c>
      <c r="L34" s="9">
        <v>10000</v>
      </c>
      <c r="M34" s="9">
        <v>10000</v>
      </c>
      <c r="N34" s="9">
        <v>10000</v>
      </c>
      <c r="O34" s="9">
        <v>10000</v>
      </c>
      <c r="P34" s="9">
        <v>10000</v>
      </c>
      <c r="Q34" s="9">
        <v>10000</v>
      </c>
      <c r="R34" s="9">
        <v>10000</v>
      </c>
      <c r="S34" s="9">
        <v>10210</v>
      </c>
      <c r="T34" s="9">
        <f t="shared" si="8"/>
        <v>90210</v>
      </c>
    </row>
    <row r="35" spans="1:20">
      <c r="A35" s="1"/>
      <c r="B35" s="1"/>
      <c r="C35" s="1"/>
      <c r="D35" s="1" t="s">
        <v>42</v>
      </c>
      <c r="E35" s="88"/>
      <c r="F35" s="88"/>
      <c r="G35" s="7">
        <f t="shared" si="7"/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f>SUM(H35:S35)</f>
        <v>0</v>
      </c>
    </row>
    <row r="36" spans="1:20">
      <c r="A36" s="1"/>
      <c r="B36" s="1"/>
      <c r="C36" s="1"/>
      <c r="D36" s="1" t="s">
        <v>43</v>
      </c>
      <c r="E36" s="88"/>
      <c r="F36" s="88"/>
      <c r="G36" s="7">
        <f t="shared" si="7"/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f>SUM(H36:S36)</f>
        <v>0</v>
      </c>
    </row>
    <row r="37" spans="1:20">
      <c r="A37" s="1"/>
      <c r="B37" s="1"/>
      <c r="C37" s="1"/>
      <c r="D37" s="1"/>
      <c r="E37" s="88" t="s">
        <v>44</v>
      </c>
      <c r="F37" s="88"/>
      <c r="G37" s="7">
        <f>T37</f>
        <v>46000</v>
      </c>
      <c r="H37" s="9">
        <v>14000</v>
      </c>
      <c r="I37" s="9">
        <v>2000</v>
      </c>
      <c r="J37" s="9">
        <v>2000</v>
      </c>
      <c r="K37" s="9">
        <v>2000</v>
      </c>
      <c r="L37" s="9">
        <v>2000</v>
      </c>
      <c r="M37" s="9">
        <v>6000</v>
      </c>
      <c r="N37" s="9">
        <v>6000</v>
      </c>
      <c r="O37" s="9">
        <v>4000</v>
      </c>
      <c r="P37" s="9">
        <v>2000</v>
      </c>
      <c r="Q37" s="9">
        <v>2000</v>
      </c>
      <c r="R37" s="9">
        <v>2000</v>
      </c>
      <c r="S37" s="9">
        <v>2000</v>
      </c>
      <c r="T37" s="9">
        <f>SUM(H37:S37)</f>
        <v>46000</v>
      </c>
    </row>
    <row r="38" spans="1:20">
      <c r="A38" s="1"/>
      <c r="B38" s="1"/>
      <c r="C38" s="1"/>
      <c r="D38" s="1"/>
      <c r="E38" s="88" t="s">
        <v>46</v>
      </c>
      <c r="F38" s="88"/>
      <c r="G38" s="7">
        <f t="shared" si="7"/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f t="shared" ref="T38:T48" si="9">SUM(H38:S38)</f>
        <v>0</v>
      </c>
    </row>
    <row r="39" spans="1:20">
      <c r="A39" s="1"/>
      <c r="B39" s="1"/>
      <c r="C39" s="1"/>
      <c r="D39" s="1"/>
      <c r="E39" s="88" t="s">
        <v>47</v>
      </c>
      <c r="F39" s="88"/>
      <c r="G39" s="7">
        <f t="shared" si="7"/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f t="shared" si="9"/>
        <v>0</v>
      </c>
    </row>
    <row r="40" spans="1:20">
      <c r="A40" s="1"/>
      <c r="B40" s="1"/>
      <c r="C40" s="1"/>
      <c r="D40" s="1"/>
      <c r="E40" s="88" t="s">
        <v>49</v>
      </c>
      <c r="F40" s="88"/>
      <c r="G40" s="7">
        <f t="shared" si="7"/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f t="shared" si="9"/>
        <v>0</v>
      </c>
    </row>
    <row r="41" spans="1:20">
      <c r="A41" s="1"/>
      <c r="B41" s="1"/>
      <c r="C41" s="1"/>
      <c r="D41" s="1"/>
      <c r="E41" s="88" t="s">
        <v>50</v>
      </c>
      <c r="F41" s="88"/>
      <c r="G41" s="7">
        <f t="shared" si="7"/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f t="shared" si="9"/>
        <v>0</v>
      </c>
    </row>
    <row r="42" spans="1:20">
      <c r="A42" s="1"/>
      <c r="B42" s="1"/>
      <c r="C42" s="1"/>
      <c r="D42" s="1"/>
      <c r="E42" s="88" t="s">
        <v>52</v>
      </c>
      <c r="F42" s="88"/>
      <c r="G42" s="7">
        <f t="shared" si="7"/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f t="shared" si="9"/>
        <v>0</v>
      </c>
    </row>
    <row r="43" spans="1:20">
      <c r="A43" s="1"/>
      <c r="B43" s="1"/>
      <c r="C43" s="1"/>
      <c r="D43" s="1"/>
      <c r="E43" s="88" t="s">
        <v>53</v>
      </c>
      <c r="F43" s="88"/>
      <c r="G43" s="7">
        <f t="shared" si="7"/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f t="shared" si="9"/>
        <v>0</v>
      </c>
    </row>
    <row r="44" spans="1:20">
      <c r="A44" s="1"/>
      <c r="B44" s="1"/>
      <c r="C44" s="1"/>
      <c r="D44" s="1"/>
      <c r="E44" s="1" t="s">
        <v>54</v>
      </c>
      <c r="F44" s="1"/>
      <c r="G44" s="7">
        <f t="shared" si="7"/>
        <v>4800</v>
      </c>
      <c r="H44" s="9">
        <v>400</v>
      </c>
      <c r="I44" s="9">
        <v>400</v>
      </c>
      <c r="J44" s="9">
        <v>400</v>
      </c>
      <c r="K44" s="9">
        <v>400</v>
      </c>
      <c r="L44" s="9">
        <v>400</v>
      </c>
      <c r="M44" s="9">
        <v>400</v>
      </c>
      <c r="N44" s="9">
        <v>400</v>
      </c>
      <c r="O44" s="9">
        <v>400</v>
      </c>
      <c r="P44" s="9">
        <v>400</v>
      </c>
      <c r="Q44" s="9">
        <v>400</v>
      </c>
      <c r="R44" s="9">
        <v>400</v>
      </c>
      <c r="S44" s="9">
        <v>400</v>
      </c>
      <c r="T44" s="9">
        <f t="shared" si="9"/>
        <v>4800</v>
      </c>
    </row>
    <row r="45" spans="1:20">
      <c r="A45" s="1"/>
      <c r="B45" s="1"/>
      <c r="C45" s="1"/>
      <c r="D45" s="1" t="s">
        <v>56</v>
      </c>
      <c r="E45" s="88"/>
      <c r="F45" s="88"/>
      <c r="G45" s="7">
        <f t="shared" si="7"/>
        <v>50800</v>
      </c>
      <c r="H45" s="9">
        <f t="shared" ref="H45:R45" si="10">SUM(H37:H44)</f>
        <v>14400</v>
      </c>
      <c r="I45" s="9">
        <f t="shared" si="10"/>
        <v>2400</v>
      </c>
      <c r="J45" s="9">
        <f t="shared" si="10"/>
        <v>2400</v>
      </c>
      <c r="K45" s="9">
        <f t="shared" si="10"/>
        <v>2400</v>
      </c>
      <c r="L45" s="9">
        <f t="shared" si="10"/>
        <v>2400</v>
      </c>
      <c r="M45" s="9">
        <f t="shared" si="10"/>
        <v>6400</v>
      </c>
      <c r="N45" s="9">
        <f t="shared" si="10"/>
        <v>6400</v>
      </c>
      <c r="O45" s="9">
        <f t="shared" si="10"/>
        <v>4400</v>
      </c>
      <c r="P45" s="9">
        <f t="shared" si="10"/>
        <v>2400</v>
      </c>
      <c r="Q45" s="9">
        <f t="shared" si="10"/>
        <v>2400</v>
      </c>
      <c r="R45" s="9">
        <f t="shared" si="10"/>
        <v>2400</v>
      </c>
      <c r="S45" s="9">
        <f>SUM(S37:S44)</f>
        <v>2400</v>
      </c>
      <c r="T45" s="9">
        <f>SUM(H45:S45)</f>
        <v>50800</v>
      </c>
    </row>
    <row r="46" spans="1:20">
      <c r="A46" s="1"/>
      <c r="B46" s="1"/>
      <c r="C46" s="5" t="s">
        <v>57</v>
      </c>
      <c r="D46" s="5"/>
      <c r="E46" s="102"/>
      <c r="F46" s="102"/>
      <c r="G46" s="7">
        <f t="shared" si="7"/>
        <v>263010</v>
      </c>
      <c r="H46" s="9">
        <f t="shared" ref="H46:S46" si="11">H45+H36+H35+H34+H33+H32+H31+H30</f>
        <v>23900</v>
      </c>
      <c r="I46" s="9">
        <f t="shared" si="11"/>
        <v>12900</v>
      </c>
      <c r="J46" s="9">
        <f t="shared" si="11"/>
        <v>11900</v>
      </c>
      <c r="K46" s="9">
        <f t="shared" si="11"/>
        <v>21900</v>
      </c>
      <c r="L46" s="9">
        <f t="shared" si="11"/>
        <v>22900</v>
      </c>
      <c r="M46" s="9">
        <f t="shared" si="11"/>
        <v>25900</v>
      </c>
      <c r="N46" s="9">
        <f t="shared" si="11"/>
        <v>25900</v>
      </c>
      <c r="O46" s="9">
        <f t="shared" si="11"/>
        <v>28900</v>
      </c>
      <c r="P46" s="9">
        <f t="shared" si="11"/>
        <v>21900</v>
      </c>
      <c r="Q46" s="9">
        <f t="shared" si="11"/>
        <v>21900</v>
      </c>
      <c r="R46" s="9">
        <f t="shared" si="11"/>
        <v>22900</v>
      </c>
      <c r="S46" s="9">
        <f t="shared" si="11"/>
        <v>22110</v>
      </c>
      <c r="T46" s="9">
        <f t="shared" si="9"/>
        <v>263010</v>
      </c>
    </row>
    <row r="47" spans="1:20">
      <c r="A47" s="1"/>
      <c r="B47" s="1"/>
      <c r="C47" s="1" t="s">
        <v>58</v>
      </c>
      <c r="D47" s="1"/>
      <c r="E47" s="88"/>
      <c r="F47" s="88"/>
      <c r="G47" s="7"/>
    </row>
    <row r="48" spans="1:20">
      <c r="A48" s="1"/>
      <c r="B48" s="1"/>
      <c r="C48" s="1"/>
      <c r="D48" s="1" t="s">
        <v>59</v>
      </c>
      <c r="E48" s="88"/>
      <c r="F48" s="88"/>
      <c r="G48" s="7">
        <f t="shared" si="7"/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f t="shared" si="9"/>
        <v>0</v>
      </c>
    </row>
    <row r="49" spans="1:20">
      <c r="A49" s="1"/>
      <c r="B49" s="1"/>
      <c r="C49" s="1"/>
      <c r="D49" s="1" t="s">
        <v>60</v>
      </c>
      <c r="E49" s="88"/>
      <c r="F49" s="88"/>
      <c r="G49" s="7">
        <f t="shared" si="7"/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f t="shared" ref="T49:T50" si="12">SUM(H49:S49)</f>
        <v>0</v>
      </c>
    </row>
    <row r="50" spans="1:20">
      <c r="A50" s="1"/>
      <c r="B50" s="1"/>
      <c r="C50" s="1"/>
      <c r="D50" s="1" t="s">
        <v>61</v>
      </c>
      <c r="E50" s="88"/>
      <c r="F50" s="88"/>
      <c r="G50" s="7">
        <f t="shared" si="7"/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f t="shared" si="12"/>
        <v>0</v>
      </c>
    </row>
    <row r="51" spans="1:20">
      <c r="A51" s="1"/>
      <c r="B51" s="1"/>
      <c r="C51" s="5" t="s">
        <v>249</v>
      </c>
      <c r="D51" s="5"/>
      <c r="E51" s="102"/>
      <c r="F51" s="102"/>
      <c r="G51" s="7">
        <f t="shared" si="7"/>
        <v>0</v>
      </c>
      <c r="H51" s="9">
        <f>SUM(H48:H50)</f>
        <v>0</v>
      </c>
      <c r="I51" s="9">
        <f t="shared" ref="I51:T51" si="13">SUM(I48:I50)</f>
        <v>0</v>
      </c>
      <c r="J51" s="9">
        <f t="shared" si="13"/>
        <v>0</v>
      </c>
      <c r="K51" s="9">
        <f t="shared" si="13"/>
        <v>0</v>
      </c>
      <c r="L51" s="9">
        <v>0</v>
      </c>
      <c r="M51" s="9">
        <f t="shared" si="13"/>
        <v>0</v>
      </c>
      <c r="N51" s="9">
        <f t="shared" si="13"/>
        <v>0</v>
      </c>
      <c r="O51" s="9">
        <f t="shared" si="13"/>
        <v>0</v>
      </c>
      <c r="P51" s="9">
        <f t="shared" si="13"/>
        <v>0</v>
      </c>
      <c r="Q51" s="9">
        <f t="shared" si="13"/>
        <v>0</v>
      </c>
      <c r="R51" s="9">
        <f t="shared" si="13"/>
        <v>0</v>
      </c>
      <c r="S51" s="9">
        <f t="shared" si="13"/>
        <v>0</v>
      </c>
      <c r="T51" s="9">
        <f t="shared" si="13"/>
        <v>0</v>
      </c>
    </row>
    <row r="52" spans="1:20">
      <c r="A52" s="1"/>
      <c r="B52" s="1"/>
      <c r="C52" s="1" t="s">
        <v>63</v>
      </c>
      <c r="D52" s="1"/>
      <c r="E52" s="88"/>
      <c r="F52" s="88"/>
      <c r="G52" s="7"/>
    </row>
    <row r="53" spans="1:20">
      <c r="A53" s="1"/>
      <c r="B53" s="1"/>
      <c r="C53" s="1"/>
      <c r="D53" s="1" t="s">
        <v>64</v>
      </c>
      <c r="E53" s="88"/>
      <c r="F53" s="88"/>
      <c r="G53" s="7">
        <f t="shared" si="7"/>
        <v>348000</v>
      </c>
      <c r="H53" s="9">
        <v>26000</v>
      </c>
      <c r="I53" s="9">
        <v>26000</v>
      </c>
      <c r="J53" s="9">
        <v>26000</v>
      </c>
      <c r="K53" s="9">
        <v>30000</v>
      </c>
      <c r="L53" s="9">
        <v>30000</v>
      </c>
      <c r="M53" s="9">
        <v>30000</v>
      </c>
      <c r="N53" s="9">
        <v>30000</v>
      </c>
      <c r="O53" s="9">
        <v>30000</v>
      </c>
      <c r="P53" s="9">
        <v>30000</v>
      </c>
      <c r="Q53" s="9">
        <v>30000</v>
      </c>
      <c r="R53" s="9">
        <v>30000</v>
      </c>
      <c r="S53" s="9">
        <v>30000</v>
      </c>
      <c r="T53" s="9">
        <f t="shared" ref="T53:T62" si="14">SUM(H53:S53)</f>
        <v>348000</v>
      </c>
    </row>
    <row r="54" spans="1:20">
      <c r="A54" s="1"/>
      <c r="B54" s="1"/>
      <c r="C54" s="1"/>
      <c r="D54" s="1" t="s">
        <v>65</v>
      </c>
      <c r="E54" s="88"/>
      <c r="F54" s="88"/>
      <c r="G54" s="7">
        <f t="shared" si="7"/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f t="shared" si="14"/>
        <v>0</v>
      </c>
    </row>
    <row r="55" spans="1:20">
      <c r="A55" s="1"/>
      <c r="B55" s="1"/>
      <c r="C55" s="1"/>
      <c r="D55" s="1" t="s">
        <v>66</v>
      </c>
      <c r="E55" s="88"/>
      <c r="F55" s="88"/>
      <c r="G55" s="7">
        <f t="shared" si="7"/>
        <v>116400</v>
      </c>
      <c r="H55" s="9">
        <v>9700</v>
      </c>
      <c r="I55" s="9">
        <v>9700</v>
      </c>
      <c r="J55" s="9">
        <v>9700</v>
      </c>
      <c r="K55" s="9">
        <v>9700</v>
      </c>
      <c r="L55" s="9">
        <v>9700</v>
      </c>
      <c r="M55" s="9">
        <v>9700</v>
      </c>
      <c r="N55" s="9">
        <v>9700</v>
      </c>
      <c r="O55" s="9">
        <v>9700</v>
      </c>
      <c r="P55" s="9">
        <v>9700</v>
      </c>
      <c r="Q55" s="9">
        <v>9700</v>
      </c>
      <c r="R55" s="9">
        <v>9700</v>
      </c>
      <c r="S55" s="9">
        <v>9700</v>
      </c>
      <c r="T55" s="9">
        <f t="shared" si="14"/>
        <v>116400</v>
      </c>
    </row>
    <row r="56" spans="1:20">
      <c r="A56" s="1"/>
      <c r="B56" s="1"/>
      <c r="C56" s="1"/>
      <c r="D56" s="1" t="s">
        <v>67</v>
      </c>
      <c r="E56" s="88"/>
      <c r="F56" s="88"/>
      <c r="G56" s="7">
        <f t="shared" si="7"/>
        <v>24000</v>
      </c>
      <c r="H56" s="9">
        <v>2000</v>
      </c>
      <c r="I56" s="9">
        <v>2000</v>
      </c>
      <c r="J56" s="9">
        <v>2000</v>
      </c>
      <c r="K56" s="9">
        <v>2000</v>
      </c>
      <c r="L56" s="9">
        <v>2000</v>
      </c>
      <c r="M56" s="9">
        <v>2000</v>
      </c>
      <c r="N56" s="9">
        <v>2000</v>
      </c>
      <c r="O56" s="9">
        <v>2000</v>
      </c>
      <c r="P56" s="9">
        <v>2000</v>
      </c>
      <c r="Q56" s="9">
        <v>2000</v>
      </c>
      <c r="R56" s="9">
        <v>2000</v>
      </c>
      <c r="S56" s="9">
        <v>2000</v>
      </c>
      <c r="T56" s="9">
        <f t="shared" si="14"/>
        <v>24000</v>
      </c>
    </row>
    <row r="57" spans="1:20">
      <c r="A57" s="1"/>
      <c r="B57" s="1"/>
      <c r="C57" s="1"/>
      <c r="D57" s="1" t="s">
        <v>69</v>
      </c>
      <c r="E57" s="88"/>
      <c r="F57" s="88"/>
      <c r="G57" s="7">
        <f t="shared" si="7"/>
        <v>6000</v>
      </c>
      <c r="H57" s="9">
        <v>500</v>
      </c>
      <c r="I57" s="9">
        <v>500</v>
      </c>
      <c r="J57" s="9">
        <v>500</v>
      </c>
      <c r="K57" s="9">
        <v>500</v>
      </c>
      <c r="L57" s="9">
        <v>500</v>
      </c>
      <c r="M57" s="9">
        <v>500</v>
      </c>
      <c r="N57" s="9">
        <v>500</v>
      </c>
      <c r="O57" s="9">
        <v>500</v>
      </c>
      <c r="P57" s="9">
        <v>500</v>
      </c>
      <c r="Q57" s="9">
        <v>500</v>
      </c>
      <c r="R57" s="9">
        <v>500</v>
      </c>
      <c r="S57" s="9">
        <v>500</v>
      </c>
      <c r="T57" s="9">
        <f t="shared" si="14"/>
        <v>6000</v>
      </c>
    </row>
    <row r="58" spans="1:20">
      <c r="A58" s="1"/>
      <c r="B58" s="1"/>
      <c r="C58" s="1"/>
      <c r="D58" s="1" t="s">
        <v>70</v>
      </c>
      <c r="E58" s="88"/>
      <c r="F58" s="88"/>
      <c r="G58" s="7">
        <f t="shared" si="7"/>
        <v>1800</v>
      </c>
      <c r="H58" s="9">
        <v>150</v>
      </c>
      <c r="I58" s="9">
        <v>150</v>
      </c>
      <c r="J58" s="9">
        <v>150</v>
      </c>
      <c r="K58" s="9">
        <v>150</v>
      </c>
      <c r="L58" s="9">
        <v>150</v>
      </c>
      <c r="M58" s="9">
        <v>150</v>
      </c>
      <c r="N58" s="9">
        <v>150</v>
      </c>
      <c r="O58" s="9">
        <v>150</v>
      </c>
      <c r="P58" s="9">
        <v>150</v>
      </c>
      <c r="Q58" s="9">
        <v>150</v>
      </c>
      <c r="R58" s="9">
        <v>150</v>
      </c>
      <c r="S58" s="9">
        <v>150</v>
      </c>
      <c r="T58" s="9">
        <f t="shared" si="14"/>
        <v>1800</v>
      </c>
    </row>
    <row r="59" spans="1:20">
      <c r="A59" s="1"/>
      <c r="B59" s="1"/>
      <c r="C59" s="1"/>
      <c r="D59" s="1" t="s">
        <v>72</v>
      </c>
      <c r="E59" s="88"/>
      <c r="F59" s="88"/>
      <c r="G59" s="7">
        <f t="shared" si="7"/>
        <v>31200</v>
      </c>
      <c r="H59" s="9">
        <v>2600</v>
      </c>
      <c r="I59" s="9">
        <v>2600</v>
      </c>
      <c r="J59" s="9">
        <v>2600</v>
      </c>
      <c r="K59" s="9">
        <v>2600</v>
      </c>
      <c r="L59" s="9">
        <v>2600</v>
      </c>
      <c r="M59" s="9">
        <v>2600</v>
      </c>
      <c r="N59" s="9">
        <v>2600</v>
      </c>
      <c r="O59" s="9">
        <v>2600</v>
      </c>
      <c r="P59" s="9">
        <v>2600</v>
      </c>
      <c r="Q59" s="9">
        <v>2600</v>
      </c>
      <c r="R59" s="9">
        <v>2600</v>
      </c>
      <c r="S59" s="9">
        <v>2600</v>
      </c>
      <c r="T59" s="9">
        <f t="shared" si="14"/>
        <v>31200</v>
      </c>
    </row>
    <row r="60" spans="1:20">
      <c r="A60" s="1"/>
      <c r="B60" s="1"/>
      <c r="C60" s="1"/>
      <c r="D60" s="1" t="s">
        <v>250</v>
      </c>
      <c r="E60" s="88"/>
      <c r="F60" s="88"/>
      <c r="G60" s="7">
        <f t="shared" si="7"/>
        <v>1800</v>
      </c>
      <c r="H60" s="9">
        <v>150</v>
      </c>
      <c r="I60" s="9">
        <v>150</v>
      </c>
      <c r="J60" s="9">
        <v>150</v>
      </c>
      <c r="K60" s="9">
        <v>150</v>
      </c>
      <c r="L60" s="9">
        <v>150</v>
      </c>
      <c r="M60" s="9">
        <v>150</v>
      </c>
      <c r="N60" s="9">
        <v>150</v>
      </c>
      <c r="O60" s="9">
        <v>150</v>
      </c>
      <c r="P60" s="9">
        <v>150</v>
      </c>
      <c r="Q60" s="9">
        <v>150</v>
      </c>
      <c r="R60" s="9">
        <v>150</v>
      </c>
      <c r="S60" s="9">
        <v>150</v>
      </c>
      <c r="T60" s="9">
        <f t="shared" si="14"/>
        <v>1800</v>
      </c>
    </row>
    <row r="61" spans="1:20">
      <c r="A61" s="1"/>
      <c r="B61" s="1"/>
      <c r="C61" s="1"/>
      <c r="D61" s="1" t="s">
        <v>73</v>
      </c>
      <c r="E61" s="88"/>
      <c r="F61" s="88"/>
      <c r="G61" s="7">
        <f t="shared" si="7"/>
        <v>600</v>
      </c>
      <c r="H61" s="9">
        <v>50</v>
      </c>
      <c r="I61" s="9">
        <v>50</v>
      </c>
      <c r="J61" s="9">
        <v>50</v>
      </c>
      <c r="K61" s="9">
        <v>50</v>
      </c>
      <c r="L61" s="9">
        <v>50</v>
      </c>
      <c r="M61" s="9">
        <v>50</v>
      </c>
      <c r="N61" s="9">
        <v>50</v>
      </c>
      <c r="O61" s="9">
        <v>50</v>
      </c>
      <c r="P61" s="9">
        <v>50</v>
      </c>
      <c r="Q61" s="9">
        <v>50</v>
      </c>
      <c r="R61" s="9">
        <v>50</v>
      </c>
      <c r="S61" s="9">
        <v>50</v>
      </c>
      <c r="T61" s="9">
        <f t="shared" si="14"/>
        <v>600</v>
      </c>
    </row>
    <row r="62" spans="1:20">
      <c r="A62" s="1"/>
      <c r="B62" s="1"/>
      <c r="C62" s="1"/>
      <c r="D62" s="1" t="s">
        <v>74</v>
      </c>
      <c r="E62" s="88"/>
      <c r="F62" s="88"/>
      <c r="G62" s="7">
        <f t="shared" si="7"/>
        <v>20400</v>
      </c>
      <c r="H62" s="9">
        <v>1700</v>
      </c>
      <c r="I62" s="9">
        <v>1700</v>
      </c>
      <c r="J62" s="9">
        <v>1700</v>
      </c>
      <c r="K62" s="9">
        <v>1700</v>
      </c>
      <c r="L62" s="9">
        <v>1700</v>
      </c>
      <c r="M62" s="9">
        <v>1700</v>
      </c>
      <c r="N62" s="9">
        <v>1700</v>
      </c>
      <c r="O62" s="9">
        <v>1700</v>
      </c>
      <c r="P62" s="9">
        <v>1700</v>
      </c>
      <c r="Q62" s="9">
        <v>1700</v>
      </c>
      <c r="R62" s="9">
        <v>1700</v>
      </c>
      <c r="S62" s="9">
        <v>1700</v>
      </c>
      <c r="T62" s="9">
        <f t="shared" si="14"/>
        <v>20400</v>
      </c>
    </row>
    <row r="63" spans="1:20">
      <c r="A63" s="5"/>
      <c r="B63" s="5"/>
      <c r="C63" s="5" t="s">
        <v>75</v>
      </c>
      <c r="D63" s="5"/>
      <c r="E63" s="102"/>
      <c r="F63" s="102"/>
      <c r="G63" s="7">
        <f t="shared" si="7"/>
        <v>550200</v>
      </c>
      <c r="H63" s="9">
        <f>SUM(H53:H62)</f>
        <v>42850</v>
      </c>
      <c r="I63" s="9">
        <f t="shared" ref="I63:S63" si="15">SUM(I53:I62)</f>
        <v>42850</v>
      </c>
      <c r="J63" s="9">
        <f t="shared" si="15"/>
        <v>42850</v>
      </c>
      <c r="K63" s="9">
        <f t="shared" si="15"/>
        <v>46850</v>
      </c>
      <c r="L63" s="9">
        <f t="shared" si="15"/>
        <v>46850</v>
      </c>
      <c r="M63" s="9">
        <f t="shared" si="15"/>
        <v>46850</v>
      </c>
      <c r="N63" s="9">
        <f t="shared" si="15"/>
        <v>46850</v>
      </c>
      <c r="O63" s="9">
        <f t="shared" si="15"/>
        <v>46850</v>
      </c>
      <c r="P63" s="9">
        <f t="shared" si="15"/>
        <v>46850</v>
      </c>
      <c r="Q63" s="9">
        <f t="shared" si="15"/>
        <v>46850</v>
      </c>
      <c r="R63" s="9">
        <f t="shared" si="15"/>
        <v>46850</v>
      </c>
      <c r="S63" s="9">
        <f t="shared" si="15"/>
        <v>46850</v>
      </c>
      <c r="T63" s="9">
        <f>SUM(T53:T62)</f>
        <v>550200</v>
      </c>
    </row>
    <row r="64" spans="1:20">
      <c r="A64" s="1"/>
      <c r="B64" s="1"/>
      <c r="C64" s="1" t="s">
        <v>76</v>
      </c>
      <c r="D64" s="1"/>
      <c r="E64" s="88"/>
      <c r="F64" s="88"/>
      <c r="G64" s="7"/>
    </row>
    <row r="65" spans="1:20">
      <c r="A65" s="1"/>
      <c r="B65" s="1"/>
      <c r="C65" s="1"/>
      <c r="D65" s="1" t="s">
        <v>77</v>
      </c>
      <c r="E65" s="88"/>
      <c r="F65" s="88"/>
      <c r="G65" s="7">
        <f t="shared" si="7"/>
        <v>900</v>
      </c>
      <c r="H65" s="9">
        <v>75</v>
      </c>
      <c r="I65" s="9">
        <v>75</v>
      </c>
      <c r="J65" s="9">
        <v>75</v>
      </c>
      <c r="K65" s="9">
        <v>75</v>
      </c>
      <c r="L65" s="9">
        <v>75</v>
      </c>
      <c r="M65" s="9">
        <v>75</v>
      </c>
      <c r="N65" s="9">
        <v>75</v>
      </c>
      <c r="O65" s="9">
        <v>75</v>
      </c>
      <c r="P65" s="9">
        <v>75</v>
      </c>
      <c r="Q65" s="9">
        <v>75</v>
      </c>
      <c r="R65" s="9">
        <v>75</v>
      </c>
      <c r="S65" s="9">
        <v>75</v>
      </c>
      <c r="T65" s="9">
        <f t="shared" ref="T65:T70" si="16">SUM(H65:S65)</f>
        <v>900</v>
      </c>
    </row>
    <row r="66" spans="1:20">
      <c r="A66" s="1"/>
      <c r="B66" s="1"/>
      <c r="C66" s="1"/>
      <c r="D66" s="1" t="s">
        <v>79</v>
      </c>
      <c r="E66" s="88"/>
      <c r="F66" s="88"/>
      <c r="G66" s="7">
        <f t="shared" si="7"/>
        <v>5280</v>
      </c>
      <c r="H66" s="9">
        <v>440</v>
      </c>
      <c r="I66" s="9">
        <v>440</v>
      </c>
      <c r="J66" s="9">
        <v>440</v>
      </c>
      <c r="K66" s="9">
        <v>440</v>
      </c>
      <c r="L66" s="9">
        <v>440</v>
      </c>
      <c r="M66" s="9">
        <v>440</v>
      </c>
      <c r="N66" s="9">
        <v>440</v>
      </c>
      <c r="O66" s="9">
        <v>440</v>
      </c>
      <c r="P66" s="9">
        <v>440</v>
      </c>
      <c r="Q66" s="9">
        <v>440</v>
      </c>
      <c r="R66" s="9">
        <v>440</v>
      </c>
      <c r="S66" s="9">
        <v>440</v>
      </c>
      <c r="T66" s="9">
        <f t="shared" si="16"/>
        <v>5280</v>
      </c>
    </row>
    <row r="67" spans="1:20">
      <c r="A67" s="1"/>
      <c r="B67" s="1"/>
      <c r="C67" s="1"/>
      <c r="D67" s="1" t="s">
        <v>80</v>
      </c>
      <c r="E67" s="88"/>
      <c r="F67" s="88"/>
      <c r="G67" s="7">
        <f t="shared" si="7"/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f t="shared" si="16"/>
        <v>0</v>
      </c>
    </row>
    <row r="68" spans="1:20">
      <c r="A68" s="1"/>
      <c r="B68" s="1"/>
      <c r="C68" s="1"/>
      <c r="D68" s="1" t="s">
        <v>81</v>
      </c>
      <c r="E68" s="88"/>
      <c r="F68" s="88"/>
      <c r="G68" s="7">
        <f t="shared" si="7"/>
        <v>17800</v>
      </c>
      <c r="H68" s="9">
        <v>800</v>
      </c>
      <c r="I68" s="9">
        <v>800</v>
      </c>
      <c r="J68" s="9">
        <v>800</v>
      </c>
      <c r="K68" s="9">
        <v>800</v>
      </c>
      <c r="L68" s="9">
        <v>2300</v>
      </c>
      <c r="M68" s="9">
        <v>800</v>
      </c>
      <c r="N68" s="9">
        <v>6000</v>
      </c>
      <c r="O68" s="9">
        <v>800</v>
      </c>
      <c r="P68" s="9">
        <v>2300</v>
      </c>
      <c r="Q68" s="9">
        <v>800</v>
      </c>
      <c r="R68" s="9">
        <v>800</v>
      </c>
      <c r="S68" s="9">
        <v>800</v>
      </c>
      <c r="T68" s="9">
        <f t="shared" si="16"/>
        <v>17800</v>
      </c>
    </row>
    <row r="69" spans="1:20">
      <c r="A69" s="1"/>
      <c r="B69" s="1"/>
      <c r="C69" s="1"/>
      <c r="D69" s="1" t="s">
        <v>82</v>
      </c>
      <c r="E69" s="88"/>
      <c r="F69" s="88"/>
      <c r="G69" s="7">
        <f t="shared" si="7"/>
        <v>17000</v>
      </c>
      <c r="H69" s="9">
        <v>0</v>
      </c>
      <c r="I69" s="9">
        <v>0</v>
      </c>
      <c r="J69" s="9">
        <v>0</v>
      </c>
      <c r="K69" s="9">
        <v>0</v>
      </c>
      <c r="L69" s="9">
        <v>1500</v>
      </c>
      <c r="M69" s="9">
        <v>7000</v>
      </c>
      <c r="N69" s="9">
        <v>0</v>
      </c>
      <c r="O69" s="9">
        <v>0</v>
      </c>
      <c r="P69" s="9">
        <v>0</v>
      </c>
      <c r="Q69" s="9">
        <v>0</v>
      </c>
      <c r="R69" s="9">
        <v>1500</v>
      </c>
      <c r="S69" s="9">
        <v>7000</v>
      </c>
      <c r="T69" s="9">
        <f t="shared" si="16"/>
        <v>17000</v>
      </c>
    </row>
    <row r="70" spans="1:20">
      <c r="A70" s="1"/>
      <c r="B70" s="1"/>
      <c r="C70" s="1"/>
      <c r="D70" s="1" t="s">
        <v>251</v>
      </c>
      <c r="E70" s="88"/>
      <c r="F70" s="88"/>
      <c r="G70" s="7">
        <f t="shared" si="7"/>
        <v>16000</v>
      </c>
      <c r="H70" s="9">
        <v>0</v>
      </c>
      <c r="I70" s="9">
        <v>0</v>
      </c>
      <c r="J70" s="9">
        <v>0</v>
      </c>
      <c r="K70" s="9">
        <v>16000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f t="shared" si="16"/>
        <v>16000</v>
      </c>
    </row>
    <row r="71" spans="1:20">
      <c r="A71" s="1"/>
      <c r="B71" s="1"/>
      <c r="C71" s="1"/>
      <c r="D71" s="1" t="s">
        <v>252</v>
      </c>
      <c r="E71" s="88"/>
      <c r="F71" s="88"/>
      <c r="G71" s="7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>
      <c r="A72" s="1"/>
      <c r="B72" s="1"/>
      <c r="C72" s="1"/>
      <c r="D72" s="1"/>
      <c r="E72" s="88" t="s">
        <v>253</v>
      </c>
      <c r="F72" s="88"/>
      <c r="G72" s="7">
        <f t="shared" si="7"/>
        <v>3600</v>
      </c>
      <c r="H72" s="9">
        <v>300</v>
      </c>
      <c r="I72" s="9">
        <v>300</v>
      </c>
      <c r="J72" s="9">
        <v>300</v>
      </c>
      <c r="K72" s="9">
        <v>300</v>
      </c>
      <c r="L72" s="9">
        <v>300</v>
      </c>
      <c r="M72" s="9">
        <v>300</v>
      </c>
      <c r="N72" s="9">
        <v>300</v>
      </c>
      <c r="O72" s="9">
        <v>300</v>
      </c>
      <c r="P72" s="9">
        <v>300</v>
      </c>
      <c r="Q72" s="9">
        <v>300</v>
      </c>
      <c r="R72" s="9">
        <v>300</v>
      </c>
      <c r="S72" s="9">
        <v>300</v>
      </c>
      <c r="T72" s="9">
        <f t="shared" ref="T72:T81" si="17">SUM(H72:S72)</f>
        <v>3600</v>
      </c>
    </row>
    <row r="73" spans="1:20">
      <c r="A73" s="1"/>
      <c r="B73" s="1"/>
      <c r="C73" s="1"/>
      <c r="D73" s="1"/>
      <c r="E73" s="88" t="s">
        <v>254</v>
      </c>
      <c r="F73" s="88"/>
      <c r="G73" s="7">
        <f t="shared" si="7"/>
        <v>11850</v>
      </c>
      <c r="H73" s="9">
        <v>0</v>
      </c>
      <c r="I73" s="9">
        <v>0</v>
      </c>
      <c r="J73" s="9">
        <v>0</v>
      </c>
      <c r="K73" s="9">
        <v>1200</v>
      </c>
      <c r="L73" s="9">
        <v>0</v>
      </c>
      <c r="M73" s="9">
        <v>6000</v>
      </c>
      <c r="N73" s="9">
        <v>0</v>
      </c>
      <c r="O73" s="9">
        <v>650</v>
      </c>
      <c r="P73" s="9">
        <v>0</v>
      </c>
      <c r="Q73" s="9">
        <v>0</v>
      </c>
      <c r="R73" s="9">
        <v>0</v>
      </c>
      <c r="S73" s="9">
        <v>4000</v>
      </c>
      <c r="T73" s="9">
        <f t="shared" si="17"/>
        <v>11850</v>
      </c>
    </row>
    <row r="74" spans="1:20">
      <c r="A74" s="1"/>
      <c r="B74" s="1"/>
      <c r="C74" s="1"/>
      <c r="D74" s="1"/>
      <c r="E74" s="88" t="s">
        <v>255</v>
      </c>
      <c r="F74" s="88"/>
      <c r="G74" s="7">
        <f t="shared" si="7"/>
        <v>540</v>
      </c>
      <c r="H74" s="9">
        <v>45</v>
      </c>
      <c r="I74" s="9">
        <v>45</v>
      </c>
      <c r="J74" s="9">
        <v>45</v>
      </c>
      <c r="K74" s="9">
        <v>45</v>
      </c>
      <c r="L74" s="9">
        <v>45</v>
      </c>
      <c r="M74" s="9">
        <v>45</v>
      </c>
      <c r="N74" s="9">
        <v>45</v>
      </c>
      <c r="O74" s="9">
        <v>45</v>
      </c>
      <c r="P74" s="9">
        <v>45</v>
      </c>
      <c r="Q74" s="9">
        <v>45</v>
      </c>
      <c r="R74" s="9">
        <v>45</v>
      </c>
      <c r="S74" s="9">
        <v>45</v>
      </c>
      <c r="T74" s="9">
        <f t="shared" si="17"/>
        <v>540</v>
      </c>
    </row>
    <row r="75" spans="1:20">
      <c r="A75" s="1"/>
      <c r="B75" s="1"/>
      <c r="C75" s="1"/>
      <c r="D75" s="1"/>
      <c r="E75" s="88" t="s">
        <v>256</v>
      </c>
      <c r="F75" s="88"/>
      <c r="G75" s="7">
        <f t="shared" si="7"/>
        <v>4200</v>
      </c>
      <c r="H75" s="9">
        <v>0</v>
      </c>
      <c r="I75" s="9">
        <v>0</v>
      </c>
      <c r="J75" s="9">
        <v>0</v>
      </c>
      <c r="K75" s="9">
        <v>4200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f t="shared" si="17"/>
        <v>4200</v>
      </c>
    </row>
    <row r="76" spans="1:20">
      <c r="A76" s="1"/>
      <c r="B76" s="1"/>
      <c r="C76" s="1"/>
      <c r="D76" s="1"/>
      <c r="E76" s="88" t="s">
        <v>257</v>
      </c>
      <c r="F76" s="88"/>
      <c r="G76" s="7">
        <f t="shared" si="7"/>
        <v>2520</v>
      </c>
      <c r="H76" s="9">
        <v>210</v>
      </c>
      <c r="I76" s="9">
        <v>210</v>
      </c>
      <c r="J76" s="9">
        <v>210</v>
      </c>
      <c r="K76" s="9">
        <v>210</v>
      </c>
      <c r="L76" s="9">
        <v>210</v>
      </c>
      <c r="M76" s="9">
        <v>210</v>
      </c>
      <c r="N76" s="9">
        <v>210</v>
      </c>
      <c r="O76" s="9">
        <v>210</v>
      </c>
      <c r="P76" s="9">
        <v>210</v>
      </c>
      <c r="Q76" s="9">
        <v>210</v>
      </c>
      <c r="R76" s="9">
        <v>210</v>
      </c>
      <c r="S76" s="9">
        <v>210</v>
      </c>
      <c r="T76" s="9">
        <f t="shared" si="17"/>
        <v>2520</v>
      </c>
    </row>
    <row r="77" spans="1:20">
      <c r="A77" s="1"/>
      <c r="B77" s="1"/>
      <c r="C77" s="1"/>
      <c r="D77" s="1" t="s">
        <v>258</v>
      </c>
      <c r="E77" s="88"/>
      <c r="F77" s="88"/>
      <c r="G77" s="7">
        <f t="shared" si="7"/>
        <v>22710</v>
      </c>
      <c r="H77" s="9">
        <f>SUM(H72:H76)</f>
        <v>555</v>
      </c>
      <c r="I77" s="9">
        <f t="shared" ref="I77:S77" si="18">SUM(I72:I76)</f>
        <v>555</v>
      </c>
      <c r="J77" s="9">
        <f t="shared" si="18"/>
        <v>555</v>
      </c>
      <c r="K77" s="9">
        <f t="shared" si="18"/>
        <v>5955</v>
      </c>
      <c r="L77" s="9">
        <f t="shared" si="18"/>
        <v>555</v>
      </c>
      <c r="M77" s="9">
        <f t="shared" si="18"/>
        <v>6555</v>
      </c>
      <c r="N77" s="9">
        <f t="shared" si="18"/>
        <v>555</v>
      </c>
      <c r="O77" s="9">
        <f t="shared" si="18"/>
        <v>1205</v>
      </c>
      <c r="P77" s="9">
        <f t="shared" si="18"/>
        <v>555</v>
      </c>
      <c r="Q77" s="9">
        <f t="shared" si="18"/>
        <v>555</v>
      </c>
      <c r="R77" s="9">
        <f t="shared" si="18"/>
        <v>555</v>
      </c>
      <c r="S77" s="9">
        <f t="shared" si="18"/>
        <v>4555</v>
      </c>
      <c r="T77" s="9">
        <f t="shared" si="17"/>
        <v>22710</v>
      </c>
    </row>
    <row r="78" spans="1:20">
      <c r="A78" s="1"/>
      <c r="B78" s="1"/>
      <c r="C78" s="1"/>
      <c r="D78" s="1" t="s">
        <v>86</v>
      </c>
      <c r="E78" s="88"/>
      <c r="F78" s="88"/>
      <c r="G78" s="7">
        <f t="shared" si="7"/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f t="shared" si="17"/>
        <v>0</v>
      </c>
    </row>
    <row r="79" spans="1:20">
      <c r="A79" s="1"/>
      <c r="B79" s="1"/>
      <c r="C79" s="1"/>
      <c r="D79" s="1" t="s">
        <v>87</v>
      </c>
      <c r="E79" s="88"/>
      <c r="F79" s="88"/>
      <c r="G79" s="7">
        <f t="shared" si="7"/>
        <v>38500</v>
      </c>
      <c r="H79" s="9">
        <v>2500</v>
      </c>
      <c r="I79" s="9">
        <v>2500</v>
      </c>
      <c r="J79" s="9">
        <v>2500</v>
      </c>
      <c r="K79" s="9">
        <v>6000</v>
      </c>
      <c r="L79" s="9">
        <v>3000</v>
      </c>
      <c r="M79" s="9">
        <v>3000</v>
      </c>
      <c r="N79" s="9">
        <v>3000</v>
      </c>
      <c r="O79" s="9">
        <v>4000</v>
      </c>
      <c r="P79" s="9">
        <v>3000</v>
      </c>
      <c r="Q79" s="9">
        <v>3000</v>
      </c>
      <c r="R79" s="9">
        <v>3000</v>
      </c>
      <c r="S79" s="9">
        <v>3000</v>
      </c>
      <c r="T79" s="9">
        <f t="shared" si="17"/>
        <v>38500</v>
      </c>
    </row>
    <row r="80" spans="1:20">
      <c r="A80" s="1"/>
      <c r="B80" s="1"/>
      <c r="C80" s="1"/>
      <c r="D80" s="1" t="s">
        <v>88</v>
      </c>
      <c r="E80" s="88"/>
      <c r="F80" s="88"/>
      <c r="G80" s="7">
        <f t="shared" si="7"/>
        <v>10200</v>
      </c>
      <c r="H80" s="9">
        <v>850</v>
      </c>
      <c r="I80" s="9">
        <v>850</v>
      </c>
      <c r="J80" s="9">
        <v>850</v>
      </c>
      <c r="K80" s="9">
        <v>850</v>
      </c>
      <c r="L80" s="9">
        <v>850</v>
      </c>
      <c r="M80" s="9">
        <v>850</v>
      </c>
      <c r="N80" s="9">
        <v>850</v>
      </c>
      <c r="O80" s="9">
        <v>850</v>
      </c>
      <c r="P80" s="9">
        <v>850</v>
      </c>
      <c r="Q80" s="9">
        <v>850</v>
      </c>
      <c r="R80" s="9">
        <v>850</v>
      </c>
      <c r="S80" s="9">
        <v>850</v>
      </c>
      <c r="T80" s="9">
        <f t="shared" si="17"/>
        <v>10200</v>
      </c>
    </row>
    <row r="81" spans="1:20">
      <c r="A81" s="1"/>
      <c r="B81" s="1"/>
      <c r="C81" s="5" t="s">
        <v>90</v>
      </c>
      <c r="D81" s="5"/>
      <c r="E81" s="102"/>
      <c r="F81" s="102"/>
      <c r="G81" s="7">
        <f t="shared" si="7"/>
        <v>128390</v>
      </c>
      <c r="H81" s="9">
        <f>H80+H79+H78+H77+H70+H69+H68+H67+H66+H65</f>
        <v>5220</v>
      </c>
      <c r="I81" s="9">
        <f t="shared" ref="I81:S81" si="19">I80+I79+I78+I77+I70+I69+I68+I67+I66+I65</f>
        <v>5220</v>
      </c>
      <c r="J81" s="9">
        <f t="shared" si="19"/>
        <v>5220</v>
      </c>
      <c r="K81" s="9">
        <f t="shared" si="19"/>
        <v>30120</v>
      </c>
      <c r="L81" s="9">
        <f t="shared" si="19"/>
        <v>8720</v>
      </c>
      <c r="M81" s="9">
        <f t="shared" si="19"/>
        <v>18720</v>
      </c>
      <c r="N81" s="9">
        <f t="shared" si="19"/>
        <v>10920</v>
      </c>
      <c r="O81" s="9">
        <f t="shared" si="19"/>
        <v>7370</v>
      </c>
      <c r="P81" s="9">
        <f t="shared" si="19"/>
        <v>7220</v>
      </c>
      <c r="Q81" s="9">
        <f t="shared" si="19"/>
        <v>5720</v>
      </c>
      <c r="R81" s="9">
        <f t="shared" si="19"/>
        <v>7220</v>
      </c>
      <c r="S81" s="9">
        <f t="shared" si="19"/>
        <v>16720</v>
      </c>
      <c r="T81" s="9">
        <f t="shared" si="17"/>
        <v>128390</v>
      </c>
    </row>
    <row r="82" spans="1:20">
      <c r="A82" s="1"/>
      <c r="B82" s="1"/>
      <c r="C82" s="1" t="s">
        <v>91</v>
      </c>
      <c r="D82" s="1"/>
      <c r="E82" s="88"/>
      <c r="F82" s="88"/>
      <c r="G82" s="7"/>
    </row>
    <row r="83" spans="1:20">
      <c r="A83" s="1"/>
      <c r="B83" s="1"/>
      <c r="C83" s="1"/>
      <c r="D83" s="1" t="s">
        <v>92</v>
      </c>
      <c r="E83" s="88"/>
      <c r="F83" s="88"/>
      <c r="G83" s="7"/>
    </row>
    <row r="84" spans="1:20">
      <c r="A84" s="1"/>
      <c r="B84" s="1"/>
      <c r="C84" s="1"/>
      <c r="D84" s="1"/>
      <c r="E84" s="88" t="s">
        <v>93</v>
      </c>
      <c r="F84" s="88"/>
      <c r="G84" s="7">
        <f>T84</f>
        <v>54200</v>
      </c>
      <c r="H84" s="9">
        <v>4500</v>
      </c>
      <c r="I84" s="9">
        <v>4500</v>
      </c>
      <c r="J84" s="9">
        <v>4500</v>
      </c>
      <c r="K84" s="9">
        <v>4700</v>
      </c>
      <c r="L84" s="9">
        <v>4500</v>
      </c>
      <c r="M84" s="9">
        <v>4500</v>
      </c>
      <c r="N84" s="9">
        <v>4500</v>
      </c>
      <c r="O84" s="9">
        <v>4500</v>
      </c>
      <c r="P84" s="9">
        <v>4500</v>
      </c>
      <c r="Q84" s="9">
        <v>4500</v>
      </c>
      <c r="R84" s="9">
        <v>4500</v>
      </c>
      <c r="S84" s="9">
        <v>4500</v>
      </c>
      <c r="T84" s="9">
        <f>SUM(H84:S84)</f>
        <v>54200</v>
      </c>
    </row>
    <row r="85" spans="1:20">
      <c r="A85" s="1"/>
      <c r="B85" s="1"/>
      <c r="C85" s="1"/>
      <c r="D85" s="1"/>
      <c r="E85" s="88" t="s">
        <v>94</v>
      </c>
      <c r="F85" s="88"/>
      <c r="G85" s="7">
        <f t="shared" ref="G85:G95" si="20">T85</f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f t="shared" ref="T85:T95" si="21">SUM(H85:S85)</f>
        <v>0</v>
      </c>
    </row>
    <row r="86" spans="1:20">
      <c r="A86" s="1"/>
      <c r="B86" s="1"/>
      <c r="C86" s="1"/>
      <c r="D86" s="1" t="s">
        <v>96</v>
      </c>
      <c r="E86" s="88"/>
      <c r="F86" s="88"/>
      <c r="G86" s="7">
        <f t="shared" si="20"/>
        <v>54200</v>
      </c>
      <c r="H86" s="9">
        <f>SUM(H84:H85)</f>
        <v>4500</v>
      </c>
      <c r="I86" s="9">
        <f t="shared" ref="I86:S86" si="22">SUM(I84:I85)</f>
        <v>4500</v>
      </c>
      <c r="J86" s="9">
        <f t="shared" si="22"/>
        <v>4500</v>
      </c>
      <c r="K86" s="9">
        <f t="shared" si="22"/>
        <v>4700</v>
      </c>
      <c r="L86" s="9">
        <f t="shared" si="22"/>
        <v>4500</v>
      </c>
      <c r="M86" s="9">
        <f t="shared" si="22"/>
        <v>4500</v>
      </c>
      <c r="N86" s="9">
        <f t="shared" si="22"/>
        <v>4500</v>
      </c>
      <c r="O86" s="9">
        <f t="shared" si="22"/>
        <v>4500</v>
      </c>
      <c r="P86" s="9">
        <f t="shared" si="22"/>
        <v>4500</v>
      </c>
      <c r="Q86" s="9">
        <f t="shared" si="22"/>
        <v>4500</v>
      </c>
      <c r="R86" s="9">
        <f t="shared" si="22"/>
        <v>4500</v>
      </c>
      <c r="S86" s="9">
        <f t="shared" si="22"/>
        <v>4500</v>
      </c>
      <c r="T86" s="9">
        <f t="shared" si="21"/>
        <v>54200</v>
      </c>
    </row>
    <row r="87" spans="1:20">
      <c r="A87" s="1"/>
      <c r="B87" s="1"/>
      <c r="C87" s="1"/>
      <c r="D87" s="1" t="s">
        <v>97</v>
      </c>
      <c r="E87" s="88"/>
      <c r="F87" s="88"/>
      <c r="G87" s="7">
        <f t="shared" si="20"/>
        <v>54500</v>
      </c>
      <c r="H87" s="9">
        <v>4500</v>
      </c>
      <c r="I87" s="9">
        <v>3000</v>
      </c>
      <c r="J87" s="9">
        <v>3000</v>
      </c>
      <c r="K87" s="9">
        <v>24000</v>
      </c>
      <c r="L87" s="9">
        <v>2500</v>
      </c>
      <c r="M87" s="9">
        <v>2500</v>
      </c>
      <c r="N87" s="9">
        <v>2500</v>
      </c>
      <c r="O87" s="9">
        <v>2500</v>
      </c>
      <c r="P87" s="9">
        <v>2500</v>
      </c>
      <c r="Q87" s="9">
        <v>2500</v>
      </c>
      <c r="R87" s="9">
        <v>2500</v>
      </c>
      <c r="S87" s="9">
        <v>2500</v>
      </c>
      <c r="T87" s="9">
        <f t="shared" si="21"/>
        <v>54500</v>
      </c>
    </row>
    <row r="88" spans="1:20">
      <c r="A88" s="1"/>
      <c r="B88" s="1"/>
      <c r="C88" s="1"/>
      <c r="D88" s="1" t="s">
        <v>98</v>
      </c>
      <c r="E88" s="88"/>
      <c r="F88" s="88"/>
      <c r="G88" s="7">
        <f t="shared" si="20"/>
        <v>24000</v>
      </c>
      <c r="H88" s="9">
        <v>2000</v>
      </c>
      <c r="I88" s="9">
        <v>2000</v>
      </c>
      <c r="J88" s="9">
        <v>2000</v>
      </c>
      <c r="K88" s="9">
        <v>2000</v>
      </c>
      <c r="L88" s="9">
        <v>2000</v>
      </c>
      <c r="M88" s="9">
        <v>2000</v>
      </c>
      <c r="N88" s="9">
        <v>2000</v>
      </c>
      <c r="O88" s="9">
        <v>2000</v>
      </c>
      <c r="P88" s="9">
        <v>2000</v>
      </c>
      <c r="Q88" s="9">
        <v>2000</v>
      </c>
      <c r="R88" s="9">
        <v>2000</v>
      </c>
      <c r="S88" s="9">
        <v>2000</v>
      </c>
      <c r="T88" s="9">
        <f t="shared" si="21"/>
        <v>24000</v>
      </c>
    </row>
    <row r="89" spans="1:20">
      <c r="A89" s="1"/>
      <c r="B89" s="1"/>
      <c r="C89" s="1"/>
      <c r="D89" s="1" t="s">
        <v>99</v>
      </c>
      <c r="E89" s="88"/>
      <c r="F89" s="88"/>
      <c r="G89" s="7">
        <f t="shared" si="20"/>
        <v>20500</v>
      </c>
      <c r="H89" s="9">
        <v>3000</v>
      </c>
      <c r="I89" s="9">
        <v>3000</v>
      </c>
      <c r="J89" s="9">
        <v>3000</v>
      </c>
      <c r="K89" s="9">
        <v>2500</v>
      </c>
      <c r="L89" s="9">
        <v>2500</v>
      </c>
      <c r="M89" s="9">
        <v>1500</v>
      </c>
      <c r="N89" s="9">
        <v>1500</v>
      </c>
      <c r="O89" s="9">
        <v>1500</v>
      </c>
      <c r="P89" s="9">
        <v>500</v>
      </c>
      <c r="Q89" s="9">
        <v>500</v>
      </c>
      <c r="R89" s="9">
        <v>500</v>
      </c>
      <c r="S89" s="9">
        <v>500</v>
      </c>
      <c r="T89" s="9">
        <f t="shared" si="21"/>
        <v>20500</v>
      </c>
    </row>
    <row r="90" spans="1:20">
      <c r="A90" s="1"/>
      <c r="B90" s="1"/>
      <c r="C90" s="1"/>
      <c r="D90" s="1" t="s">
        <v>100</v>
      </c>
      <c r="E90" s="88"/>
      <c r="F90" s="88"/>
      <c r="G90" s="7">
        <f t="shared" si="20"/>
        <v>1200</v>
      </c>
      <c r="H90" s="9">
        <v>100</v>
      </c>
      <c r="I90" s="9">
        <v>100</v>
      </c>
      <c r="J90" s="9">
        <v>100</v>
      </c>
      <c r="K90" s="9">
        <v>100</v>
      </c>
      <c r="L90" s="9">
        <v>100</v>
      </c>
      <c r="M90" s="9">
        <v>100</v>
      </c>
      <c r="N90" s="9">
        <v>100</v>
      </c>
      <c r="O90" s="9">
        <v>100</v>
      </c>
      <c r="P90" s="9">
        <v>100</v>
      </c>
      <c r="Q90" s="9">
        <v>100</v>
      </c>
      <c r="R90" s="9">
        <v>100</v>
      </c>
      <c r="S90" s="9">
        <v>100</v>
      </c>
      <c r="T90" s="9">
        <f t="shared" si="21"/>
        <v>1200</v>
      </c>
    </row>
    <row r="91" spans="1:20">
      <c r="A91" s="1"/>
      <c r="B91" s="5"/>
      <c r="C91" s="5" t="s">
        <v>103</v>
      </c>
      <c r="D91" s="5"/>
      <c r="E91" s="102"/>
      <c r="F91" s="102"/>
      <c r="G91" s="7">
        <f t="shared" si="20"/>
        <v>154400</v>
      </c>
      <c r="H91" s="9">
        <f>SUM(H86:H90)</f>
        <v>14100</v>
      </c>
      <c r="I91" s="9">
        <f t="shared" ref="I91:S91" si="23">SUM(I86:I90)</f>
        <v>12600</v>
      </c>
      <c r="J91" s="9">
        <f t="shared" si="23"/>
        <v>12600</v>
      </c>
      <c r="K91" s="9">
        <f t="shared" si="23"/>
        <v>33300</v>
      </c>
      <c r="L91" s="9">
        <f t="shared" si="23"/>
        <v>11600</v>
      </c>
      <c r="M91" s="9">
        <f t="shared" si="23"/>
        <v>10600</v>
      </c>
      <c r="N91" s="9">
        <f t="shared" si="23"/>
        <v>10600</v>
      </c>
      <c r="O91" s="9">
        <f t="shared" si="23"/>
        <v>10600</v>
      </c>
      <c r="P91" s="9">
        <f t="shared" si="23"/>
        <v>9600</v>
      </c>
      <c r="Q91" s="9">
        <f t="shared" si="23"/>
        <v>9600</v>
      </c>
      <c r="R91" s="9">
        <f t="shared" si="23"/>
        <v>9600</v>
      </c>
      <c r="S91" s="9">
        <f t="shared" si="23"/>
        <v>9600</v>
      </c>
      <c r="T91" s="9">
        <f t="shared" si="21"/>
        <v>154400</v>
      </c>
    </row>
    <row r="92" spans="1:20">
      <c r="A92" s="1"/>
      <c r="B92" s="1"/>
      <c r="C92" s="1" t="s">
        <v>259</v>
      </c>
      <c r="D92" s="1"/>
      <c r="E92" s="88"/>
      <c r="F92" s="88"/>
      <c r="G92" s="7"/>
    </row>
    <row r="93" spans="1:20">
      <c r="A93" s="1"/>
      <c r="B93" s="1"/>
      <c r="C93" s="1"/>
      <c r="D93" s="1" t="s">
        <v>259</v>
      </c>
      <c r="E93" s="88"/>
      <c r="F93" s="88"/>
      <c r="G93" s="7">
        <f t="shared" si="20"/>
        <v>24000</v>
      </c>
      <c r="H93" s="9">
        <v>2000</v>
      </c>
      <c r="I93" s="9">
        <v>2000</v>
      </c>
      <c r="J93" s="9">
        <v>2000</v>
      </c>
      <c r="K93" s="9">
        <v>2000</v>
      </c>
      <c r="L93" s="9">
        <v>2000</v>
      </c>
      <c r="M93" s="9">
        <v>2000</v>
      </c>
      <c r="N93" s="9">
        <v>2000</v>
      </c>
      <c r="O93" s="9">
        <v>2000</v>
      </c>
      <c r="P93" s="9">
        <v>2000</v>
      </c>
      <c r="Q93" s="9">
        <v>2000</v>
      </c>
      <c r="R93" s="9">
        <v>2000</v>
      </c>
      <c r="S93" s="9">
        <v>2000</v>
      </c>
      <c r="T93" s="9">
        <f t="shared" si="21"/>
        <v>24000</v>
      </c>
    </row>
    <row r="94" spans="1:20">
      <c r="A94" s="5"/>
      <c r="B94" s="5"/>
      <c r="C94" s="5" t="s">
        <v>260</v>
      </c>
      <c r="D94" s="5"/>
      <c r="E94" s="102"/>
      <c r="F94" s="102"/>
      <c r="G94" s="7">
        <f t="shared" si="20"/>
        <v>24000</v>
      </c>
      <c r="H94" s="9">
        <f>SUM(H93)</f>
        <v>2000</v>
      </c>
      <c r="I94" s="9">
        <f t="shared" ref="I94:S94" si="24">SUM(I93)</f>
        <v>2000</v>
      </c>
      <c r="J94" s="9">
        <f t="shared" si="24"/>
        <v>2000</v>
      </c>
      <c r="K94" s="9">
        <f t="shared" si="24"/>
        <v>2000</v>
      </c>
      <c r="L94" s="9">
        <f t="shared" si="24"/>
        <v>2000</v>
      </c>
      <c r="M94" s="9">
        <f t="shared" si="24"/>
        <v>2000</v>
      </c>
      <c r="N94" s="9">
        <f t="shared" si="24"/>
        <v>2000</v>
      </c>
      <c r="O94" s="9">
        <f t="shared" si="24"/>
        <v>2000</v>
      </c>
      <c r="P94" s="9">
        <f t="shared" si="24"/>
        <v>2000</v>
      </c>
      <c r="Q94" s="9">
        <f t="shared" si="24"/>
        <v>2000</v>
      </c>
      <c r="R94" s="9">
        <f t="shared" si="24"/>
        <v>2000</v>
      </c>
      <c r="S94" s="9">
        <f t="shared" si="24"/>
        <v>2000</v>
      </c>
      <c r="T94" s="9">
        <f t="shared" si="21"/>
        <v>24000</v>
      </c>
    </row>
    <row r="95" spans="1:20">
      <c r="A95" s="1"/>
      <c r="B95" s="5" t="s">
        <v>104</v>
      </c>
      <c r="C95" s="1"/>
      <c r="D95" s="1"/>
      <c r="E95" s="88"/>
      <c r="F95" s="88"/>
      <c r="G95" s="7">
        <f t="shared" si="20"/>
        <v>1120000</v>
      </c>
      <c r="H95" s="9">
        <f t="shared" ref="H95:R95" si="25">H94+H91+H81+H63+H46+H51</f>
        <v>88070</v>
      </c>
      <c r="I95" s="9">
        <f t="shared" si="25"/>
        <v>75570</v>
      </c>
      <c r="J95" s="9">
        <f t="shared" si="25"/>
        <v>74570</v>
      </c>
      <c r="K95" s="9">
        <f t="shared" si="25"/>
        <v>134170</v>
      </c>
      <c r="L95" s="9">
        <f t="shared" si="25"/>
        <v>92070</v>
      </c>
      <c r="M95" s="9">
        <f t="shared" si="25"/>
        <v>104070</v>
      </c>
      <c r="N95" s="9">
        <f t="shared" si="25"/>
        <v>96270</v>
      </c>
      <c r="O95" s="9">
        <f t="shared" si="25"/>
        <v>95720</v>
      </c>
      <c r="P95" s="9">
        <f t="shared" si="25"/>
        <v>87570</v>
      </c>
      <c r="Q95" s="9">
        <f t="shared" si="25"/>
        <v>86070</v>
      </c>
      <c r="R95" s="9">
        <f t="shared" si="25"/>
        <v>88570</v>
      </c>
      <c r="S95" s="9">
        <f>S94+S91+S81+S63+S46+S51</f>
        <v>97280</v>
      </c>
      <c r="T95" s="9">
        <f t="shared" si="21"/>
        <v>1120000</v>
      </c>
    </row>
    <row r="96" spans="1:20">
      <c r="A96" s="1"/>
      <c r="B96" s="1"/>
      <c r="C96" s="1"/>
      <c r="D96" s="1"/>
      <c r="E96" s="88"/>
      <c r="F96" s="88"/>
      <c r="G96" s="2"/>
    </row>
    <row r="97" spans="1:20">
      <c r="A97" s="1"/>
      <c r="B97" s="1"/>
      <c r="C97" s="1"/>
      <c r="D97" s="1"/>
      <c r="E97" s="88"/>
      <c r="F97" s="88"/>
      <c r="G97" s="11" t="s">
        <v>105</v>
      </c>
      <c r="H97" s="12">
        <f t="shared" ref="H97:T97" si="26">H26-H95</f>
        <v>36930</v>
      </c>
      <c r="I97" s="12">
        <f t="shared" si="26"/>
        <v>39430</v>
      </c>
      <c r="J97" s="12">
        <f t="shared" si="26"/>
        <v>30430</v>
      </c>
      <c r="K97" s="12">
        <f t="shared" si="26"/>
        <v>-39170</v>
      </c>
      <c r="L97" s="12">
        <f t="shared" si="26"/>
        <v>-7070</v>
      </c>
      <c r="M97" s="12">
        <f t="shared" si="26"/>
        <v>-19070</v>
      </c>
      <c r="N97" s="12">
        <f t="shared" si="26"/>
        <v>-11270</v>
      </c>
      <c r="O97" s="12">
        <f t="shared" si="26"/>
        <v>-10720</v>
      </c>
      <c r="P97" s="12">
        <f t="shared" si="26"/>
        <v>-2570</v>
      </c>
      <c r="Q97" s="12">
        <f t="shared" si="26"/>
        <v>-1070</v>
      </c>
      <c r="R97" s="12">
        <f t="shared" si="26"/>
        <v>-3570</v>
      </c>
      <c r="S97" s="12">
        <f t="shared" si="26"/>
        <v>-12280</v>
      </c>
      <c r="T97" s="12">
        <f t="shared" si="26"/>
        <v>0</v>
      </c>
    </row>
    <row r="98" spans="1:20">
      <c r="A98" s="1"/>
      <c r="B98" s="1"/>
      <c r="C98" s="1"/>
      <c r="D98" s="1"/>
      <c r="E98" s="88"/>
      <c r="F98" s="88"/>
      <c r="G98" s="2"/>
    </row>
    <row r="99" spans="1:20">
      <c r="A99" s="1"/>
      <c r="B99" s="1"/>
      <c r="C99" s="1"/>
      <c r="D99" s="1"/>
      <c r="E99" s="88" t="s">
        <v>261</v>
      </c>
      <c r="F99" s="88"/>
      <c r="G99" s="2" t="s">
        <v>106</v>
      </c>
      <c r="H99" s="10">
        <f>75000+H97</f>
        <v>111930</v>
      </c>
      <c r="I99" s="10">
        <f>H99+I97</f>
        <v>151360</v>
      </c>
      <c r="J99" s="10">
        <f t="shared" ref="J99:S99" si="27">I99+J97</f>
        <v>181790</v>
      </c>
      <c r="K99" s="10">
        <f t="shared" si="27"/>
        <v>142620</v>
      </c>
      <c r="L99" s="10">
        <f t="shared" si="27"/>
        <v>135550</v>
      </c>
      <c r="M99" s="10">
        <f t="shared" si="27"/>
        <v>116480</v>
      </c>
      <c r="N99" s="10">
        <f t="shared" si="27"/>
        <v>105210</v>
      </c>
      <c r="O99" s="10">
        <f t="shared" si="27"/>
        <v>94490</v>
      </c>
      <c r="P99" s="10">
        <f t="shared" si="27"/>
        <v>91920</v>
      </c>
      <c r="Q99" s="10">
        <f t="shared" si="27"/>
        <v>90850</v>
      </c>
      <c r="R99" s="10">
        <f t="shared" si="27"/>
        <v>87280</v>
      </c>
      <c r="S99" s="10">
        <f t="shared" si="27"/>
        <v>75000</v>
      </c>
      <c r="T99" s="10"/>
    </row>
    <row r="100" spans="1:20">
      <c r="A100" s="1"/>
      <c r="B100" s="1"/>
      <c r="C100" s="1"/>
      <c r="D100" s="1"/>
      <c r="E100" s="88"/>
      <c r="F100" s="88"/>
      <c r="G100" s="2"/>
    </row>
    <row r="101" spans="1:20">
      <c r="A101" s="1"/>
      <c r="B101" s="1"/>
      <c r="C101" s="1"/>
      <c r="D101" s="1"/>
      <c r="E101" s="88"/>
      <c r="F101" s="88"/>
      <c r="G101" s="2"/>
    </row>
    <row r="102" spans="1:20">
      <c r="A102" s="1"/>
      <c r="B102" s="1"/>
      <c r="C102" s="1"/>
      <c r="D102" s="1"/>
      <c r="E102" s="88"/>
      <c r="F102" s="88"/>
      <c r="G102" s="2"/>
    </row>
    <row r="103" spans="1:20">
      <c r="A103" s="1"/>
      <c r="B103" s="1"/>
      <c r="C103" s="1"/>
      <c r="D103" s="1"/>
      <c r="E103" s="88"/>
      <c r="F103" s="88"/>
      <c r="G103" s="2"/>
    </row>
    <row r="104" spans="1:20">
      <c r="A104" s="1"/>
      <c r="B104" s="1"/>
      <c r="C104" s="1"/>
      <c r="D104" s="1"/>
      <c r="E104" s="88"/>
      <c r="F104" s="88"/>
      <c r="G104" s="2"/>
    </row>
    <row r="105" spans="1:20">
      <c r="A105" s="1"/>
      <c r="B105" s="1"/>
      <c r="C105" s="1"/>
      <c r="D105" s="1"/>
      <c r="E105" s="88"/>
      <c r="F105" s="88"/>
      <c r="G105" s="2"/>
    </row>
    <row r="106" spans="1:20">
      <c r="A106" s="1"/>
      <c r="B106" s="1"/>
      <c r="C106" s="1"/>
      <c r="D106" s="1"/>
      <c r="E106" s="88"/>
      <c r="F106" s="88"/>
      <c r="G106" s="2"/>
    </row>
    <row r="107" spans="1:20">
      <c r="A107" s="1"/>
      <c r="B107" s="1"/>
      <c r="C107" s="1"/>
      <c r="D107" s="1"/>
      <c r="E107" s="88"/>
      <c r="F107" s="88"/>
      <c r="G107" s="2"/>
    </row>
    <row r="108" spans="1:20">
      <c r="A108" s="1"/>
      <c r="B108" s="1"/>
      <c r="C108" s="1"/>
      <c r="D108" s="1"/>
      <c r="E108" s="88"/>
      <c r="F108" s="88"/>
      <c r="G108" s="2"/>
    </row>
    <row r="109" spans="1:20">
      <c r="A109" s="1"/>
      <c r="B109" s="1"/>
      <c r="C109" s="1"/>
      <c r="D109" s="1"/>
      <c r="E109" s="88"/>
      <c r="F109" s="88"/>
      <c r="G109" s="2"/>
    </row>
    <row r="110" spans="1:20">
      <c r="A110" s="1"/>
      <c r="B110" s="1"/>
      <c r="C110" s="1"/>
      <c r="D110" s="1"/>
      <c r="E110" s="88"/>
      <c r="F110" s="88"/>
      <c r="G110" s="2"/>
    </row>
    <row r="111" spans="1:20">
      <c r="A111" s="1"/>
      <c r="B111" s="1"/>
      <c r="C111" s="1"/>
      <c r="D111" s="1"/>
      <c r="E111" s="88"/>
      <c r="F111" s="88"/>
      <c r="G111" s="2"/>
    </row>
    <row r="112" spans="1:20">
      <c r="A112" s="2"/>
      <c r="B112" s="1"/>
      <c r="C112" s="1"/>
      <c r="D112" s="1"/>
      <c r="E112" s="88"/>
      <c r="F112" s="88"/>
      <c r="G112" s="2"/>
    </row>
    <row r="113" spans="1:7">
      <c r="A113" s="2"/>
      <c r="B113" s="1"/>
      <c r="C113" s="1"/>
      <c r="D113" s="1"/>
      <c r="E113" s="88"/>
      <c r="F113" s="88"/>
      <c r="G113" s="2"/>
    </row>
    <row r="114" spans="1:7">
      <c r="A114" s="2"/>
      <c r="B114" s="1"/>
      <c r="C114" s="1"/>
      <c r="D114" s="1"/>
      <c r="E114" s="88"/>
      <c r="F114" s="88"/>
      <c r="G114" s="2"/>
    </row>
    <row r="115" spans="1:7">
      <c r="A115" s="2"/>
      <c r="B115" s="1"/>
      <c r="C115" s="1"/>
      <c r="D115" s="1"/>
      <c r="E115" s="88"/>
      <c r="F115" s="88"/>
      <c r="G115" s="2"/>
    </row>
    <row r="116" spans="1:7">
      <c r="A116" s="2"/>
      <c r="B116" s="1"/>
      <c r="C116" s="1"/>
      <c r="D116" s="1"/>
      <c r="E116" s="88"/>
      <c r="F116" s="88"/>
      <c r="G116" s="2"/>
    </row>
    <row r="117" spans="1:7">
      <c r="A117" s="2"/>
      <c r="B117" s="1"/>
      <c r="C117" s="1"/>
      <c r="D117" s="1"/>
      <c r="E117" s="88"/>
      <c r="F117" s="88"/>
      <c r="G117" s="2"/>
    </row>
    <row r="118" spans="1:7">
      <c r="A118" s="1"/>
      <c r="B118" s="1"/>
      <c r="C118" s="1"/>
      <c r="D118" s="1"/>
      <c r="E118" s="88"/>
      <c r="F118" s="88"/>
      <c r="G118" s="2"/>
    </row>
  </sheetData>
  <mergeCells count="114">
    <mergeCell ref="E1:F1"/>
    <mergeCell ref="B2:G2"/>
    <mergeCell ref="E3:F3"/>
    <mergeCell ref="E4:F4"/>
    <mergeCell ref="E5:F5"/>
    <mergeCell ref="E6:F6"/>
    <mergeCell ref="E14:F14"/>
    <mergeCell ref="E15:F15"/>
    <mergeCell ref="E16:F16"/>
    <mergeCell ref="E17:F17"/>
    <mergeCell ref="E18:F18"/>
    <mergeCell ref="E19:F19"/>
    <mergeCell ref="E7:F7"/>
    <mergeCell ref="E8:F8"/>
    <mergeCell ref="E9:F9"/>
    <mergeCell ref="E10:F10"/>
    <mergeCell ref="E11:F11"/>
    <mergeCell ref="E13:F13"/>
    <mergeCell ref="E28:F28"/>
    <mergeCell ref="E29:F29"/>
    <mergeCell ref="E30:F30"/>
    <mergeCell ref="E31:F31"/>
    <mergeCell ref="E32:F32"/>
    <mergeCell ref="E33:F33"/>
    <mergeCell ref="E20:F20"/>
    <mergeCell ref="E21:F21"/>
    <mergeCell ref="E22:F22"/>
    <mergeCell ref="E23:F23"/>
    <mergeCell ref="E26:F26"/>
    <mergeCell ref="E27:F27"/>
    <mergeCell ref="E40:F40"/>
    <mergeCell ref="E41:F41"/>
    <mergeCell ref="E42:F42"/>
    <mergeCell ref="E43:F43"/>
    <mergeCell ref="E45:F45"/>
    <mergeCell ref="E46:F46"/>
    <mergeCell ref="E34:F34"/>
    <mergeCell ref="E35:F35"/>
    <mergeCell ref="E36:F36"/>
    <mergeCell ref="E37:F37"/>
    <mergeCell ref="E38:F38"/>
    <mergeCell ref="E39:F39"/>
    <mergeCell ref="E53:F53"/>
    <mergeCell ref="E54:F54"/>
    <mergeCell ref="E55:F55"/>
    <mergeCell ref="E56:F56"/>
    <mergeCell ref="E57:F57"/>
    <mergeCell ref="E58:F58"/>
    <mergeCell ref="E47:F47"/>
    <mergeCell ref="E48:F48"/>
    <mergeCell ref="E49:F49"/>
    <mergeCell ref="E50:F50"/>
    <mergeCell ref="E51:F51"/>
    <mergeCell ref="E52:F52"/>
    <mergeCell ref="E65:F65"/>
    <mergeCell ref="E66:F66"/>
    <mergeCell ref="E67:F67"/>
    <mergeCell ref="E68:F68"/>
    <mergeCell ref="E69:F69"/>
    <mergeCell ref="E70:F70"/>
    <mergeCell ref="E59:F59"/>
    <mergeCell ref="E60:F60"/>
    <mergeCell ref="E61:F61"/>
    <mergeCell ref="E62:F62"/>
    <mergeCell ref="E63:F63"/>
    <mergeCell ref="E64:F64"/>
    <mergeCell ref="E77:F77"/>
    <mergeCell ref="E78:F78"/>
    <mergeCell ref="E79:F79"/>
    <mergeCell ref="E80:F80"/>
    <mergeCell ref="E81:F81"/>
    <mergeCell ref="E82:F82"/>
    <mergeCell ref="E71:F71"/>
    <mergeCell ref="E72:F72"/>
    <mergeCell ref="E73:F73"/>
    <mergeCell ref="E74:F74"/>
    <mergeCell ref="E75:F75"/>
    <mergeCell ref="E76:F76"/>
    <mergeCell ref="E89:F89"/>
    <mergeCell ref="E90:F90"/>
    <mergeCell ref="E91:F91"/>
    <mergeCell ref="E92:F92"/>
    <mergeCell ref="E93:F93"/>
    <mergeCell ref="E94:F94"/>
    <mergeCell ref="E83:F83"/>
    <mergeCell ref="E84:F84"/>
    <mergeCell ref="E85:F85"/>
    <mergeCell ref="E86:F86"/>
    <mergeCell ref="E87:F87"/>
    <mergeCell ref="E88:F88"/>
    <mergeCell ref="E101:F101"/>
    <mergeCell ref="E102:F102"/>
    <mergeCell ref="E103:F103"/>
    <mergeCell ref="E104:F104"/>
    <mergeCell ref="E95:F95"/>
    <mergeCell ref="E96:F96"/>
    <mergeCell ref="E97:F97"/>
    <mergeCell ref="E98:F98"/>
    <mergeCell ref="E99:F99"/>
    <mergeCell ref="E100:F100"/>
    <mergeCell ref="E117:F117"/>
    <mergeCell ref="E118:F118"/>
    <mergeCell ref="E111:F111"/>
    <mergeCell ref="E112:F112"/>
    <mergeCell ref="E113:F113"/>
    <mergeCell ref="E114:F114"/>
    <mergeCell ref="E115:F115"/>
    <mergeCell ref="E116:F116"/>
    <mergeCell ref="E105:F105"/>
    <mergeCell ref="E106:F106"/>
    <mergeCell ref="E107:F107"/>
    <mergeCell ref="E108:F108"/>
    <mergeCell ref="E109:F109"/>
    <mergeCell ref="E110:F1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85B2283438EA45A8444442559DCA63" ma:contentTypeVersion="3" ma:contentTypeDescription="Create a new document." ma:contentTypeScope="" ma:versionID="15fc22146c421741ef190de9ccc7e0e6">
  <xsd:schema xmlns:xsd="http://www.w3.org/2001/XMLSchema" xmlns:xs="http://www.w3.org/2001/XMLSchema" xmlns:p="http://schemas.microsoft.com/office/2006/metadata/properties" xmlns:ns2="0f679e72-64a3-427c-89fb-ce01cbc59bda" targetNamespace="http://schemas.microsoft.com/office/2006/metadata/properties" ma:root="true" ma:fieldsID="6b91bf33ab5a257b128e44f48515b4ed" ns2:_="">
    <xsd:import namespace="0f679e72-64a3-427c-89fb-ce01cbc59b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679e72-64a3-427c-89fb-ce01cbc59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CACF6A-CE2B-4DEC-B46C-CF3905A38AFB}">
  <ds:schemaRefs>
    <ds:schemaRef ds:uri="http://schemas.microsoft.com/office/2006/documentManagement/types"/>
    <ds:schemaRef ds:uri="0f679e72-64a3-427c-89fb-ce01cbc59bda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9D4D829-8DD0-44D2-8A14-4E6DECC1F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679e72-64a3-427c-89fb-ce01cbc59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A9B8A2-665E-413D-9AE2-D791B43EE9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LNC 2026 Budget Prop</vt:lpstr>
      <vt:lpstr>2025 Budget vs Actuals</vt:lpstr>
      <vt:lpstr>LNC 2025 Budget Proposal v1.0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Hagopian</dc:creator>
  <cp:lastModifiedBy>George</cp:lastModifiedBy>
  <cp:revision/>
  <dcterms:created xsi:type="dcterms:W3CDTF">2023-02-03T06:30:31Z</dcterms:created>
  <dcterms:modified xsi:type="dcterms:W3CDTF">2026-03-23T20:28:24Z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0x0101000885B2283438EA45A8444442559DCA63</vt:lpwstr>
  </property>
</Properties>
</file>